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53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3" i="1" l="1"/>
  <c r="O53" i="1"/>
  <c r="P53" i="1"/>
  <c r="Q53" i="1"/>
  <c r="R53" i="1" s="1"/>
  <c r="U53" i="1"/>
  <c r="L54" i="1"/>
  <c r="N54" i="1"/>
  <c r="N55" i="1"/>
  <c r="O54" i="1" s="1"/>
  <c r="P54" i="1" s="1"/>
  <c r="O55" i="1"/>
  <c r="P55" i="1"/>
  <c r="Q55" i="1"/>
  <c r="R55" i="1" s="1"/>
  <c r="O59" i="1"/>
  <c r="H77" i="1"/>
  <c r="H76" i="1"/>
  <c r="H78" i="1" l="1"/>
  <c r="H80" i="1"/>
  <c r="U54" i="1"/>
  <c r="Q54" i="1"/>
  <c r="R54" i="1" s="1"/>
  <c r="N66" i="1"/>
  <c r="N41" i="1"/>
  <c r="O41" i="1"/>
  <c r="P41" i="1"/>
  <c r="Q41" i="1"/>
  <c r="R41" i="1" s="1"/>
  <c r="U41" i="1"/>
  <c r="L42" i="1"/>
  <c r="N42" i="1"/>
  <c r="N43" i="1"/>
  <c r="O43" i="1"/>
  <c r="P43" i="1"/>
  <c r="Q43" i="1"/>
  <c r="R43" i="1" s="1"/>
  <c r="N44" i="1"/>
  <c r="P44" i="1"/>
  <c r="Q44" i="1"/>
  <c r="R44" i="1" s="1"/>
  <c r="L45" i="1"/>
  <c r="N45" i="1"/>
  <c r="N46" i="1"/>
  <c r="O46" i="1"/>
  <c r="P46" i="1"/>
  <c r="Q46" i="1"/>
  <c r="R46" i="1" s="1"/>
  <c r="U46" i="1"/>
  <c r="N47" i="1"/>
  <c r="O47" i="1"/>
  <c r="P47" i="1"/>
  <c r="Q47" i="1"/>
  <c r="R47" i="1" s="1"/>
  <c r="U47" i="1"/>
  <c r="L48" i="1"/>
  <c r="N48" i="1"/>
  <c r="N49" i="1"/>
  <c r="O49" i="1"/>
  <c r="P49" i="1"/>
  <c r="Q49" i="1"/>
  <c r="R49" i="1" s="1"/>
  <c r="N50" i="1"/>
  <c r="P50" i="1"/>
  <c r="Q50" i="1"/>
  <c r="R50" i="1" s="1"/>
  <c r="L51" i="1"/>
  <c r="N51" i="1"/>
  <c r="N52" i="1"/>
  <c r="O52" i="1"/>
  <c r="P52" i="1"/>
  <c r="Q52" i="1"/>
  <c r="R52" i="1" s="1"/>
  <c r="U52" i="1"/>
  <c r="N29" i="1"/>
  <c r="O29" i="1"/>
  <c r="P29" i="1"/>
  <c r="Q29" i="1"/>
  <c r="R29" i="1" s="1"/>
  <c r="U29" i="1"/>
  <c r="N30" i="1"/>
  <c r="N31" i="1"/>
  <c r="O31" i="1"/>
  <c r="P31" i="1"/>
  <c r="Q31" i="1"/>
  <c r="R31" i="1" s="1"/>
  <c r="N32" i="1"/>
  <c r="P32" i="1"/>
  <c r="Q32" i="1"/>
  <c r="R32" i="1" s="1"/>
  <c r="N33" i="1"/>
  <c r="N34" i="1"/>
  <c r="O34" i="1"/>
  <c r="P34" i="1"/>
  <c r="Q34" i="1"/>
  <c r="R34" i="1" s="1"/>
  <c r="U34" i="1"/>
  <c r="N35" i="1"/>
  <c r="O35" i="1"/>
  <c r="P35" i="1"/>
  <c r="Q35" i="1"/>
  <c r="R35" i="1" s="1"/>
  <c r="U35" i="1"/>
  <c r="N36" i="1"/>
  <c r="N37" i="1"/>
  <c r="O37" i="1"/>
  <c r="P37" i="1"/>
  <c r="Q37" i="1"/>
  <c r="R37" i="1" s="1"/>
  <c r="N38" i="1"/>
  <c r="P38" i="1"/>
  <c r="Q38" i="1"/>
  <c r="R38" i="1"/>
  <c r="N39" i="1"/>
  <c r="N40" i="1"/>
  <c r="O40" i="1"/>
  <c r="P40" i="1"/>
  <c r="Q40" i="1"/>
  <c r="R40" i="1" s="1"/>
  <c r="U40" i="1"/>
  <c r="L30" i="1"/>
  <c r="L33" i="1"/>
  <c r="L36" i="1"/>
  <c r="L39" i="1"/>
  <c r="O42" i="1" l="1"/>
  <c r="P42" i="1" s="1"/>
  <c r="Q42" i="1" s="1"/>
  <c r="R42" i="1" s="1"/>
  <c r="O39" i="1"/>
  <c r="P39" i="1" s="1"/>
  <c r="Q39" i="1" s="1"/>
  <c r="R39" i="1" s="1"/>
  <c r="O45" i="1"/>
  <c r="P45" i="1" s="1"/>
  <c r="Q45" i="1" s="1"/>
  <c r="R45" i="1" s="1"/>
  <c r="O33" i="1"/>
  <c r="P33" i="1" s="1"/>
  <c r="Q33" i="1" s="1"/>
  <c r="R33" i="1" s="1"/>
  <c r="O30" i="1"/>
  <c r="P30" i="1" s="1"/>
  <c r="U30" i="1" s="1"/>
  <c r="O36" i="1"/>
  <c r="P36" i="1" s="1"/>
  <c r="U36" i="1" s="1"/>
  <c r="O48" i="1"/>
  <c r="P48" i="1" s="1"/>
  <c r="Q48" i="1" s="1"/>
  <c r="R48" i="1" s="1"/>
  <c r="O51" i="1"/>
  <c r="P51" i="1" s="1"/>
  <c r="Q51" i="1" s="1"/>
  <c r="R51" i="1" s="1"/>
  <c r="U42" i="1"/>
  <c r="U39" i="1" l="1"/>
  <c r="Q30" i="1"/>
  <c r="R30" i="1" s="1"/>
  <c r="U45" i="1"/>
  <c r="U33" i="1"/>
  <c r="Q36" i="1"/>
  <c r="R36" i="1" s="1"/>
  <c r="U48" i="1"/>
  <c r="U51" i="1"/>
  <c r="T61" i="1"/>
  <c r="N63" i="1"/>
  <c r="U10" i="1"/>
  <c r="U11" i="1"/>
  <c r="U16" i="1"/>
  <c r="U17" i="1"/>
  <c r="U22" i="1"/>
  <c r="U23" i="1"/>
  <c r="U28" i="1"/>
  <c r="U4" i="1"/>
  <c r="U5" i="1"/>
  <c r="O10" i="1"/>
  <c r="O11" i="1"/>
  <c r="O13" i="1"/>
  <c r="O16" i="1"/>
  <c r="O17" i="1"/>
  <c r="O19" i="1"/>
  <c r="O22" i="1"/>
  <c r="O23" i="1"/>
  <c r="O25" i="1"/>
  <c r="O28" i="1"/>
  <c r="L9" i="1"/>
  <c r="L12" i="1"/>
  <c r="L15" i="1"/>
  <c r="L18" i="1"/>
  <c r="L21" i="1"/>
  <c r="L24" i="1"/>
  <c r="L27" i="1"/>
  <c r="L6" i="1"/>
  <c r="L3" i="1"/>
  <c r="S24" i="1"/>
  <c r="H64" i="1"/>
  <c r="H63" i="1"/>
  <c r="H62" i="1"/>
  <c r="N61" i="1"/>
  <c r="Q4" i="1"/>
  <c r="R4" i="1" s="1"/>
  <c r="Q5" i="1"/>
  <c r="R5" i="1" s="1"/>
  <c r="Q7" i="1"/>
  <c r="R7" i="1" s="1"/>
  <c r="Q8" i="1"/>
  <c r="R8" i="1" s="1"/>
  <c r="Q10" i="1"/>
  <c r="R10" i="1" s="1"/>
  <c r="Q11" i="1"/>
  <c r="R11" i="1" s="1"/>
  <c r="Q13" i="1"/>
  <c r="R13" i="1" s="1"/>
  <c r="Q14" i="1"/>
  <c r="R14" i="1" s="1"/>
  <c r="Q16" i="1"/>
  <c r="R16" i="1" s="1"/>
  <c r="Q17" i="1"/>
  <c r="R17" i="1" s="1"/>
  <c r="Q19" i="1"/>
  <c r="R19" i="1" s="1"/>
  <c r="Q20" i="1"/>
  <c r="R20" i="1" s="1"/>
  <c r="Q22" i="1"/>
  <c r="R22" i="1" s="1"/>
  <c r="Q23" i="1"/>
  <c r="R23" i="1" s="1"/>
  <c r="Q25" i="1"/>
  <c r="R25" i="1" s="1"/>
  <c r="Q26" i="1"/>
  <c r="R26" i="1" s="1"/>
  <c r="Q28" i="1"/>
  <c r="R28" i="1" s="1"/>
  <c r="Q2" i="1"/>
  <c r="R2" i="1" s="1"/>
  <c r="P4" i="1"/>
  <c r="P5" i="1"/>
  <c r="P7" i="1"/>
  <c r="P8" i="1"/>
  <c r="P10" i="1"/>
  <c r="P11" i="1"/>
  <c r="P13" i="1"/>
  <c r="P14" i="1"/>
  <c r="P16" i="1"/>
  <c r="P17" i="1"/>
  <c r="P19" i="1"/>
  <c r="P20" i="1"/>
  <c r="P22" i="1"/>
  <c r="P23" i="1"/>
  <c r="P25" i="1"/>
  <c r="P26" i="1"/>
  <c r="P28" i="1"/>
  <c r="P2" i="1"/>
  <c r="N26" i="1"/>
  <c r="N27" i="1"/>
  <c r="N28" i="1"/>
  <c r="O4" i="1"/>
  <c r="O5" i="1"/>
  <c r="O7" i="1"/>
  <c r="N64" i="1" l="1"/>
  <c r="U64" i="1" s="1"/>
  <c r="O27" i="1"/>
  <c r="P27" i="1" s="1"/>
  <c r="U61" i="1"/>
  <c r="H65" i="1"/>
  <c r="I64" i="1" s="1"/>
  <c r="I63" i="1" l="1"/>
  <c r="I62" i="1"/>
  <c r="I80" i="1"/>
  <c r="I82" i="1"/>
  <c r="H71" i="1"/>
  <c r="Q27" i="1"/>
  <c r="R27" i="1" s="1"/>
  <c r="U27" i="1"/>
  <c r="U66" i="1"/>
  <c r="N4" i="1"/>
  <c r="N20" i="1"/>
  <c r="N21" i="1"/>
  <c r="N22" i="1"/>
  <c r="N17" i="1"/>
  <c r="N18" i="1"/>
  <c r="N19" i="1"/>
  <c r="N14" i="1"/>
  <c r="N15" i="1"/>
  <c r="N16" i="1"/>
  <c r="N11" i="1"/>
  <c r="N12" i="1"/>
  <c r="N13" i="1"/>
  <c r="N8" i="1"/>
  <c r="N9" i="1"/>
  <c r="N10" i="1"/>
  <c r="N5" i="1"/>
  <c r="N6" i="1"/>
  <c r="N7" i="1"/>
  <c r="N2" i="1"/>
  <c r="N3" i="1"/>
  <c r="N25" i="1"/>
  <c r="N23" i="1"/>
  <c r="N24" i="1"/>
  <c r="U81" i="1" l="1"/>
  <c r="U74" i="1"/>
  <c r="U73" i="1"/>
  <c r="T81" i="1"/>
  <c r="U80" i="1"/>
  <c r="T80" i="1"/>
  <c r="O9" i="1"/>
  <c r="P9" i="1" s="1"/>
  <c r="O21" i="1"/>
  <c r="P21" i="1" s="1"/>
  <c r="O6" i="1"/>
  <c r="P6" i="1" s="1"/>
  <c r="O18" i="1"/>
  <c r="P18" i="1" s="1"/>
  <c r="O3" i="1"/>
  <c r="P3" i="1" s="1"/>
  <c r="N65" i="1"/>
  <c r="O15" i="1"/>
  <c r="P15" i="1" s="1"/>
  <c r="O24" i="1"/>
  <c r="P24" i="1" s="1"/>
  <c r="O12" i="1"/>
  <c r="P12" i="1" s="1"/>
  <c r="Q12" i="1" l="1"/>
  <c r="R12" i="1" s="1"/>
  <c r="U12" i="1"/>
  <c r="Q24" i="1"/>
  <c r="R24" i="1" s="1"/>
  <c r="U24" i="1"/>
  <c r="Q18" i="1"/>
  <c r="R18" i="1" s="1"/>
  <c r="U18" i="1"/>
  <c r="Q9" i="1"/>
  <c r="R9" i="1" s="1"/>
  <c r="U9" i="1"/>
  <c r="Q6" i="1"/>
  <c r="R6" i="1" s="1"/>
  <c r="U6" i="1"/>
  <c r="Q3" i="1"/>
  <c r="R3" i="1" s="1"/>
  <c r="U3" i="1"/>
  <c r="Q15" i="1"/>
  <c r="R15" i="1" s="1"/>
  <c r="U15" i="1"/>
  <c r="N67" i="1"/>
  <c r="N69" i="1" s="1"/>
  <c r="T77" i="1" s="1"/>
  <c r="Q21" i="1"/>
  <c r="R21" i="1" s="1"/>
  <c r="U21" i="1"/>
  <c r="U77" i="1" l="1"/>
  <c r="U78" i="1"/>
  <c r="T78" i="1"/>
  <c r="O69" i="1"/>
  <c r="U69" i="1"/>
  <c r="N71" i="1"/>
  <c r="N72" i="1" s="1"/>
  <c r="U72" i="1" s="1"/>
  <c r="O72" i="1" l="1"/>
</calcChain>
</file>

<file path=xl/sharedStrings.xml><?xml version="1.0" encoding="utf-8"?>
<sst xmlns="http://schemas.openxmlformats.org/spreadsheetml/2006/main" count="230" uniqueCount="96">
  <si>
    <t>Trip</t>
  </si>
  <si>
    <t>Origin</t>
  </si>
  <si>
    <t>Destination</t>
  </si>
  <si>
    <t>Purpose</t>
  </si>
  <si>
    <t>Miles</t>
  </si>
  <si>
    <t>Hyatt Lake Tahoe</t>
  </si>
  <si>
    <t>Costs</t>
  </si>
  <si>
    <t>Gar Woods</t>
  </si>
  <si>
    <t>Go to start</t>
  </si>
  <si>
    <t>Return to home base</t>
  </si>
  <si>
    <t>Duration</t>
  </si>
  <si>
    <t>Northwood Apt</t>
  </si>
  <si>
    <t>Lakeview Drive</t>
  </si>
  <si>
    <t>Heavenly Village</t>
  </si>
  <si>
    <t>Total Costs</t>
  </si>
  <si>
    <t>Total Sales</t>
  </si>
  <si>
    <t>Biltmore</t>
  </si>
  <si>
    <t>Tax (25%)</t>
  </si>
  <si>
    <t>Net Profit</t>
  </si>
  <si>
    <t>Net Income</t>
  </si>
  <si>
    <t>Balance Costs</t>
  </si>
  <si>
    <t>Northstar</t>
  </si>
  <si>
    <t>GM</t>
  </si>
  <si>
    <t>GM2</t>
  </si>
  <si>
    <t>Sales/Fares</t>
  </si>
  <si>
    <t>Odom Start</t>
  </si>
  <si>
    <t>Odom Stop</t>
  </si>
  <si>
    <t>Trip ID</t>
  </si>
  <si>
    <t>Unique ID</t>
  </si>
  <si>
    <t>Milage Rate</t>
  </si>
  <si>
    <t>GM Avg</t>
  </si>
  <si>
    <t>To Start</t>
  </si>
  <si>
    <t>Return</t>
  </si>
  <si>
    <t>Oriole Way</t>
  </si>
  <si>
    <t>Raley's</t>
  </si>
  <si>
    <t>Caliente</t>
  </si>
  <si>
    <t>Cash Tip</t>
  </si>
  <si>
    <t>Mt Rose Highway</t>
  </si>
  <si>
    <t>Alder Ave</t>
  </si>
  <si>
    <t>Mileage</t>
  </si>
  <si>
    <t>Total (mi)</t>
  </si>
  <si>
    <t>Profit Margin</t>
  </si>
  <si>
    <t>Milage Costs</t>
  </si>
  <si>
    <t>Safe Rider Fee</t>
  </si>
  <si>
    <t>Uber Fee</t>
  </si>
  <si>
    <t>Approx Total Time</t>
  </si>
  <si>
    <t>Safe Rider Fees</t>
  </si>
  <si>
    <t>Uber Fees</t>
  </si>
  <si>
    <t>Milage</t>
  </si>
  <si>
    <t>Cell/Misc</t>
  </si>
  <si>
    <t>Total Hours</t>
  </si>
  <si>
    <t>Hourly rate after Uber Fees</t>
  </si>
  <si>
    <t>Perceived Hourly rate</t>
  </si>
  <si>
    <t>Hourly rate after Uber Fees &amp; fuel costs alone (assuming $3.65/gal and 20mpg avg)</t>
  </si>
  <si>
    <t>Fuel Costs</t>
  </si>
  <si>
    <t>Fuel/gal</t>
  </si>
  <si>
    <t>mpg avg</t>
  </si>
  <si>
    <t>Total Fuel Cost</t>
  </si>
  <si>
    <t>Hourly rate after Uber Fees, Fuel Costs &amp; Taxes</t>
  </si>
  <si>
    <t>Hourly rate after Uber Fees, Mileage, Cell &amp; Taxes</t>
  </si>
  <si>
    <t>Hourly rate after Uber Fees, Milage &amp; Cell</t>
  </si>
  <si>
    <t>House</t>
  </si>
  <si>
    <t>Diamond Peak</t>
  </si>
  <si>
    <t>Carson Denny's</t>
  </si>
  <si>
    <t>Big Water Grille</t>
  </si>
  <si>
    <t>CBC</t>
  </si>
  <si>
    <t>Rookies</t>
  </si>
  <si>
    <t>Rookies x2</t>
  </si>
  <si>
    <t>College House</t>
  </si>
  <si>
    <t>Cell</t>
  </si>
  <si>
    <t>Summary</t>
  </si>
  <si>
    <t>Hourly rate after Uber Fees, Fuel Costs &amp; Taxes + Safe Rider</t>
  </si>
  <si>
    <t>Vehicle Costs</t>
  </si>
  <si>
    <t>Monthly Loan</t>
  </si>
  <si>
    <t>Miles/month</t>
  </si>
  <si>
    <t>1/2 Other Auto Transp</t>
  </si>
  <si>
    <t>Cost per mi less fuel</t>
  </si>
  <si>
    <t>IRS Depreciation per mile (2015 &amp; 2016)</t>
  </si>
  <si>
    <t>Dep Max (yr1)</t>
  </si>
  <si>
    <t>Dep Max (yr2)</t>
  </si>
  <si>
    <t>Dep Max (yr3)</t>
  </si>
  <si>
    <t>Dep Max (yr4+)</t>
  </si>
  <si>
    <t>Incremental Maint cost per mi (loan not included)</t>
  </si>
  <si>
    <t>Hourly rate after Uber Fees, Fuel Costs &amp; Taxes + Safe Rider - Maint Exp</t>
  </si>
  <si>
    <t>Hourly rate after Uber Fees, Mileage, Cell &amp; Taxes + Safe Rider</t>
  </si>
  <si>
    <t>data to prorate = 60.5 mb of 5.9GB used for cell data (Uber Partner app)</t>
  </si>
  <si>
    <t>pre-tax</t>
  </si>
  <si>
    <t>Hourly rate after Uber Fees, Mileage, Cell &amp; Taxes + Safe Rider + tip (non-taxed)</t>
  </si>
  <si>
    <t>Hourly rate after Uber Fees, Fuel Costs &amp; Taxes + Safe Rider - Maint Exp + tip (non-taxed)</t>
  </si>
  <si>
    <t>Southwood</t>
  </si>
  <si>
    <t>South Lake Tahoe</t>
  </si>
  <si>
    <t>Mays House</t>
  </si>
  <si>
    <t>Carnelian Bay</t>
  </si>
  <si>
    <t>Home</t>
  </si>
  <si>
    <t>Chipmunk</t>
  </si>
  <si>
    <t>Hyatt Lake Tahoe x2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</si>
</sst>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_(&quot;$&quot;* #,##0.000_);_(&quot;$&quot;* \(#,##0.000\);_(&quot;$&quot;* &quot;-&quot;??_);_(@_)"/>
    <numFmt numFmtId="167" formatCode="[h]:mm:ss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b/>
      <sz val="11"/>
      <color theme="2"/>
      <name val="Calibri"/>
      <family val="2"/>
      <scheme val="minor"/>
    </font>
    <font>
      <sz val="11"/>
      <color theme="2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 val="doubleAccounting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6">
    <xf numFmtId="0" fontId="0" fillId="0" borderId="0" xfId="0"/>
    <xf numFmtId="44" fontId="0" fillId="0" borderId="0" xfId="2" applyFont="1"/>
    <xf numFmtId="0" fontId="2" fillId="0" borderId="0" xfId="0" applyFont="1"/>
    <xf numFmtId="44" fontId="2" fillId="0" borderId="0" xfId="2" applyFont="1"/>
    <xf numFmtId="43" fontId="2" fillId="0" borderId="0" xfId="1" applyFont="1"/>
    <xf numFmtId="43" fontId="0" fillId="0" borderId="0" xfId="1" applyFont="1"/>
    <xf numFmtId="164" fontId="0" fillId="0" borderId="0" xfId="3" applyNumberFormat="1" applyFont="1"/>
    <xf numFmtId="44" fontId="0" fillId="0" borderId="0" xfId="0" applyNumberFormat="1"/>
    <xf numFmtId="44" fontId="3" fillId="0" borderId="0" xfId="2" applyFont="1"/>
    <xf numFmtId="44" fontId="4" fillId="0" borderId="0" xfId="2" applyFont="1"/>
    <xf numFmtId="164" fontId="2" fillId="0" borderId="0" xfId="3" applyNumberFormat="1" applyFont="1"/>
    <xf numFmtId="0" fontId="5" fillId="0" borderId="0" xfId="0" applyFont="1"/>
    <xf numFmtId="164" fontId="6" fillId="0" borderId="0" xfId="0" applyNumberFormat="1" applyFont="1"/>
    <xf numFmtId="0" fontId="6" fillId="0" borderId="0" xfId="0" applyFont="1"/>
    <xf numFmtId="165" fontId="2" fillId="0" borderId="0" xfId="1" applyNumberFormat="1" applyFont="1"/>
    <xf numFmtId="165" fontId="0" fillId="0" borderId="0" xfId="1" applyNumberFormat="1" applyFont="1"/>
    <xf numFmtId="0" fontId="0" fillId="2" borderId="0" xfId="0" applyFill="1"/>
    <xf numFmtId="165" fontId="0" fillId="2" borderId="0" xfId="1" applyNumberFormat="1" applyFont="1" applyFill="1"/>
    <xf numFmtId="43" fontId="0" fillId="2" borderId="0" xfId="1" applyFont="1" applyFill="1"/>
    <xf numFmtId="44" fontId="0" fillId="2" borderId="0" xfId="2" applyFont="1" applyFill="1"/>
    <xf numFmtId="44" fontId="0" fillId="2" borderId="0" xfId="0" applyNumberFormat="1" applyFill="1"/>
    <xf numFmtId="164" fontId="0" fillId="2" borderId="0" xfId="3" applyNumberFormat="1" applyFont="1" applyFill="1"/>
    <xf numFmtId="164" fontId="6" fillId="2" borderId="0" xfId="0" applyNumberFormat="1" applyFont="1" applyFill="1"/>
    <xf numFmtId="166" fontId="2" fillId="0" borderId="0" xfId="2" applyNumberFormat="1" applyFont="1"/>
    <xf numFmtId="166" fontId="0" fillId="0" borderId="0" xfId="2" applyNumberFormat="1" applyFont="1"/>
    <xf numFmtId="166" fontId="0" fillId="2" borderId="0" xfId="2" applyNumberFormat="1" applyFont="1" applyFill="1"/>
    <xf numFmtId="166" fontId="2" fillId="0" borderId="0" xfId="0" applyNumberFormat="1" applyFont="1"/>
    <xf numFmtId="165" fontId="3" fillId="0" borderId="0" xfId="1" applyNumberFormat="1" applyFont="1"/>
    <xf numFmtId="43" fontId="8" fillId="0" borderId="0" xfId="1" applyFont="1"/>
    <xf numFmtId="0" fontId="0" fillId="0" borderId="0" xfId="0" applyFill="1"/>
    <xf numFmtId="43" fontId="9" fillId="0" borderId="0" xfId="1" applyFont="1"/>
    <xf numFmtId="167" fontId="2" fillId="0" borderId="0" xfId="0" applyNumberFormat="1" applyFont="1"/>
    <xf numFmtId="167" fontId="0" fillId="0" borderId="0" xfId="0" applyNumberFormat="1"/>
    <xf numFmtId="167" fontId="0" fillId="2" borderId="0" xfId="0" applyNumberFormat="1" applyFill="1"/>
    <xf numFmtId="0" fontId="0" fillId="3" borderId="0" xfId="0" applyFill="1"/>
    <xf numFmtId="165" fontId="0" fillId="3" borderId="0" xfId="1" applyNumberFormat="1" applyFont="1" applyFill="1"/>
    <xf numFmtId="43" fontId="0" fillId="3" borderId="0" xfId="1" applyFont="1" applyFill="1"/>
    <xf numFmtId="167" fontId="0" fillId="3" borderId="0" xfId="0" applyNumberFormat="1" applyFill="1"/>
    <xf numFmtId="44" fontId="0" fillId="3" borderId="0" xfId="2" applyFont="1" applyFill="1"/>
    <xf numFmtId="21" fontId="0" fillId="0" borderId="0" xfId="0" applyNumberFormat="1"/>
    <xf numFmtId="21" fontId="0" fillId="2" borderId="0" xfId="0" applyNumberFormat="1" applyFill="1"/>
    <xf numFmtId="44" fontId="7" fillId="0" borderId="0" xfId="2" applyFont="1"/>
    <xf numFmtId="44" fontId="0" fillId="0" borderId="0" xfId="2" applyFont="1" applyFill="1"/>
    <xf numFmtId="165" fontId="0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/>
    </xf>
    <xf numFmtId="165" fontId="0" fillId="0" borderId="0" xfId="1" applyNumberFormat="1" applyFont="1" applyFill="1"/>
    <xf numFmtId="43" fontId="0" fillId="0" borderId="0" xfId="1" applyFont="1" applyFill="1"/>
    <xf numFmtId="167" fontId="0" fillId="0" borderId="0" xfId="0" applyNumberFormat="1" applyFill="1"/>
    <xf numFmtId="166" fontId="0" fillId="0" borderId="0" xfId="2" applyNumberFormat="1" applyFont="1" applyFill="1"/>
    <xf numFmtId="44" fontId="0" fillId="0" borderId="0" xfId="0" applyNumberFormat="1" applyFill="1"/>
    <xf numFmtId="164" fontId="0" fillId="0" borderId="0" xfId="3" applyNumberFormat="1" applyFont="1" applyFill="1"/>
    <xf numFmtId="164" fontId="6" fillId="0" borderId="0" xfId="0" applyNumberFormat="1" applyFont="1" applyFill="1"/>
    <xf numFmtId="0" fontId="0" fillId="0" borderId="0" xfId="0" applyFill="1" applyBorder="1"/>
    <xf numFmtId="165" fontId="0" fillId="0" borderId="0" xfId="1" applyNumberFormat="1" applyFont="1" applyFill="1" applyBorder="1"/>
    <xf numFmtId="43" fontId="0" fillId="0" borderId="0" xfId="1" applyFont="1" applyFill="1" applyBorder="1"/>
    <xf numFmtId="167" fontId="0" fillId="0" borderId="0" xfId="0" applyNumberFormat="1" applyFill="1" applyBorder="1"/>
    <xf numFmtId="44" fontId="0" fillId="0" borderId="0" xfId="2" applyFont="1" applyFill="1" applyBorder="1"/>
    <xf numFmtId="166" fontId="0" fillId="0" borderId="0" xfId="2" applyNumberFormat="1" applyFont="1" applyFill="1" applyBorder="1"/>
    <xf numFmtId="44" fontId="0" fillId="0" borderId="0" xfId="0" applyNumberFormat="1" applyFill="1" applyBorder="1"/>
    <xf numFmtId="164" fontId="0" fillId="0" borderId="0" xfId="3" applyNumberFormat="1" applyFont="1" applyFill="1" applyBorder="1"/>
    <xf numFmtId="164" fontId="6" fillId="0" borderId="0" xfId="0" applyNumberFormat="1" applyFont="1" applyFill="1" applyBorder="1"/>
    <xf numFmtId="21" fontId="0" fillId="0" borderId="0" xfId="0" applyNumberFormat="1" applyFill="1"/>
    <xf numFmtId="0" fontId="2" fillId="0" borderId="0" xfId="0" applyFont="1" applyFill="1" applyBorder="1"/>
    <xf numFmtId="0" fontId="0" fillId="0" borderId="1" xfId="0" applyFill="1" applyBorder="1"/>
    <xf numFmtId="165" fontId="0" fillId="0" borderId="1" xfId="1" applyNumberFormat="1" applyFont="1" applyFill="1" applyBorder="1"/>
    <xf numFmtId="43" fontId="0" fillId="0" borderId="1" xfId="1" applyFont="1" applyFill="1" applyBorder="1"/>
    <xf numFmtId="167" fontId="0" fillId="0" borderId="1" xfId="0" applyNumberFormat="1" applyFill="1" applyBorder="1"/>
    <xf numFmtId="44" fontId="0" fillId="0" borderId="1" xfId="2" applyFont="1" applyFill="1" applyBorder="1"/>
    <xf numFmtId="166" fontId="0" fillId="0" borderId="1" xfId="2" applyNumberFormat="1" applyFont="1" applyFill="1" applyBorder="1"/>
    <xf numFmtId="44" fontId="0" fillId="0" borderId="1" xfId="0" applyNumberFormat="1" applyFill="1" applyBorder="1"/>
    <xf numFmtId="164" fontId="0" fillId="0" borderId="1" xfId="3" applyNumberFormat="1" applyFont="1" applyFill="1" applyBorder="1"/>
    <xf numFmtId="164" fontId="6" fillId="0" borderId="1" xfId="0" applyNumberFormat="1" applyFont="1" applyFill="1" applyBorder="1"/>
    <xf numFmtId="165" fontId="10" fillId="0" borderId="0" xfId="1" applyNumberFormat="1" applyFont="1" applyAlignment="1">
      <alignment horizontal="right"/>
    </xf>
    <xf numFmtId="44" fontId="10" fillId="0" borderId="0" xfId="2" applyFont="1"/>
    <xf numFmtId="9" fontId="0" fillId="0" borderId="0" xfId="3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3">
    <dxf>
      <font>
        <b/>
        <i val="0"/>
      </font>
      <fill>
        <patternFill>
          <bgColor theme="9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6"/>
  <sheetViews>
    <sheetView tabSelected="1" workbookViewId="0">
      <pane xSplit="4" ySplit="1" topLeftCell="E2" activePane="bottomRight" state="frozen"/>
      <selection pane="topRight" activeCell="G1" sqref="G1"/>
      <selection pane="bottomLeft" activeCell="A2" sqref="A2"/>
      <selection pane="bottomRight" activeCell="C1" sqref="C1:C1048576"/>
    </sheetView>
  </sheetViews>
  <sheetFormatPr defaultRowHeight="15" x14ac:dyDescent="0.25"/>
  <cols>
    <col min="1" max="1" width="6.7109375" bestFit="1" customWidth="1"/>
    <col min="2" max="2" width="9.85546875" bestFit="1" customWidth="1"/>
    <col min="3" max="3" width="17.7109375" customWidth="1"/>
    <col min="4" max="4" width="22.7109375" customWidth="1"/>
    <col min="5" max="5" width="19.7109375" bestFit="1" customWidth="1"/>
    <col min="6" max="6" width="12.42578125" style="15" bestFit="1" customWidth="1"/>
    <col min="7" max="7" width="12.28515625" style="15" bestFit="1" customWidth="1"/>
    <col min="8" max="8" width="10.5703125" style="5" bestFit="1" customWidth="1"/>
    <col min="9" max="9" width="11.5703125" style="32" bestFit="1" customWidth="1"/>
    <col min="10" max="10" width="12.5703125" style="1" bestFit="1" customWidth="1"/>
    <col min="11" max="11" width="15.28515625" style="1" customWidth="1"/>
    <col min="12" max="12" width="10.5703125" style="1" bestFit="1" customWidth="1"/>
    <col min="13" max="13" width="13.140625" style="24" bestFit="1" customWidth="1"/>
    <col min="14" max="14" width="13.85546875" style="1" bestFit="1" customWidth="1"/>
    <col min="15" max="15" width="12.85546875" style="1" customWidth="1"/>
    <col min="16" max="16" width="13" customWidth="1"/>
    <col min="17" max="17" width="9.140625" style="6"/>
    <col min="18" max="18" width="9.140625" style="13"/>
    <col min="19" max="19" width="9.140625" style="1"/>
    <col min="20" max="20" width="10.7109375" bestFit="1" customWidth="1"/>
  </cols>
  <sheetData>
    <row r="1" spans="1:21" s="2" customFormat="1" x14ac:dyDescent="0.25">
      <c r="A1" s="2" t="s">
        <v>27</v>
      </c>
      <c r="B1" s="2" t="s">
        <v>28</v>
      </c>
      <c r="C1" s="2" t="s">
        <v>1</v>
      </c>
      <c r="D1" s="2" t="s">
        <v>2</v>
      </c>
      <c r="E1" s="2" t="s">
        <v>3</v>
      </c>
      <c r="F1" s="14" t="s">
        <v>25</v>
      </c>
      <c r="G1" s="14" t="s">
        <v>26</v>
      </c>
      <c r="H1" s="4" t="s">
        <v>4</v>
      </c>
      <c r="I1" s="31" t="s">
        <v>10</v>
      </c>
      <c r="J1" s="3" t="s">
        <v>24</v>
      </c>
      <c r="K1" s="3" t="s">
        <v>43</v>
      </c>
      <c r="L1" s="3" t="s">
        <v>44</v>
      </c>
      <c r="M1" s="23" t="s">
        <v>29</v>
      </c>
      <c r="N1" s="3" t="s">
        <v>42</v>
      </c>
      <c r="O1" s="3" t="s">
        <v>20</v>
      </c>
      <c r="P1" s="2" t="s">
        <v>19</v>
      </c>
      <c r="Q1" s="10" t="s">
        <v>22</v>
      </c>
      <c r="R1" s="11" t="s">
        <v>23</v>
      </c>
      <c r="S1" s="3" t="s">
        <v>36</v>
      </c>
      <c r="T1" s="2" t="s">
        <v>45</v>
      </c>
    </row>
    <row r="2" spans="1:21" x14ac:dyDescent="0.25">
      <c r="A2">
        <v>1</v>
      </c>
      <c r="B2">
        <v>1</v>
      </c>
      <c r="C2" t="s">
        <v>93</v>
      </c>
      <c r="D2" t="s">
        <v>5</v>
      </c>
      <c r="E2" t="s">
        <v>8</v>
      </c>
      <c r="F2" s="15">
        <v>29644.11</v>
      </c>
      <c r="G2" s="15">
        <v>29648.91</v>
      </c>
      <c r="H2" s="5">
        <v>4.8</v>
      </c>
      <c r="M2" s="24">
        <v>0.57499999999999996</v>
      </c>
      <c r="N2" s="1">
        <f t="shared" ref="N2:N25" si="0">M2*H2</f>
        <v>2.76</v>
      </c>
      <c r="P2" s="7" t="str">
        <f t="shared" ref="P2:P33" si="1">IF(J2="","",J2-O2)</f>
        <v/>
      </c>
      <c r="Q2" s="6" t="str">
        <f t="shared" ref="Q2:Q33" si="2">IF(J2="","",P2/J2)</f>
        <v/>
      </c>
      <c r="R2" s="12" t="str">
        <f>Q2</f>
        <v/>
      </c>
    </row>
    <row r="3" spans="1:21" x14ac:dyDescent="0.25">
      <c r="A3">
        <v>1</v>
      </c>
      <c r="B3">
        <v>2</v>
      </c>
      <c r="C3" t="s">
        <v>5</v>
      </c>
      <c r="D3" t="s">
        <v>38</v>
      </c>
      <c r="E3" t="s">
        <v>0</v>
      </c>
      <c r="F3" s="15">
        <v>29648.91</v>
      </c>
      <c r="G3" s="15">
        <v>29654.89</v>
      </c>
      <c r="H3" s="5">
        <v>5.98</v>
      </c>
      <c r="I3" s="32">
        <v>1.3043981481481483E-2</v>
      </c>
      <c r="J3" s="1">
        <v>14.04</v>
      </c>
      <c r="K3" s="1">
        <v>1.7</v>
      </c>
      <c r="L3" s="1">
        <f>0.25*(J3-K3)</f>
        <v>3.085</v>
      </c>
      <c r="M3" s="24">
        <v>0.57499999999999996</v>
      </c>
      <c r="N3" s="1">
        <f t="shared" si="0"/>
        <v>3.4384999999999999</v>
      </c>
      <c r="O3" s="1">
        <f>IF(AND(E3="Trip",A5&lt;&gt;A3),SUM(N2:N4)+K3+L3,"")</f>
        <v>11.500999999999998</v>
      </c>
      <c r="P3" s="7">
        <f t="shared" si="1"/>
        <v>2.5390000000000015</v>
      </c>
      <c r="Q3" s="6">
        <f t="shared" si="2"/>
        <v>0.18084045584045597</v>
      </c>
      <c r="R3" s="12">
        <f t="shared" ref="R3:R28" si="3">Q3</f>
        <v>0.18084045584045597</v>
      </c>
      <c r="T3" s="39">
        <v>2.4305555555555556E-2</v>
      </c>
      <c r="U3" s="1">
        <f>IF(T3="","",P3/(T3*24))</f>
        <v>4.352571428571431</v>
      </c>
    </row>
    <row r="4" spans="1:21" x14ac:dyDescent="0.25">
      <c r="A4">
        <v>1</v>
      </c>
      <c r="B4">
        <v>3</v>
      </c>
      <c r="C4" t="s">
        <v>38</v>
      </c>
      <c r="D4" t="s">
        <v>93</v>
      </c>
      <c r="E4" t="s">
        <v>9</v>
      </c>
      <c r="F4" s="15">
        <v>29654.89</v>
      </c>
      <c r="G4" s="15">
        <v>29655.79</v>
      </c>
      <c r="H4" s="5">
        <v>0.9</v>
      </c>
      <c r="M4" s="24">
        <v>0.57499999999999996</v>
      </c>
      <c r="N4" s="1">
        <f t="shared" si="0"/>
        <v>0.51749999999999996</v>
      </c>
      <c r="O4" s="1" t="str">
        <f>IF(AND(E4="Trip",A6&lt;&gt;A4),SUM(N3:N5),"")</f>
        <v/>
      </c>
      <c r="P4" s="7" t="str">
        <f t="shared" si="1"/>
        <v/>
      </c>
      <c r="Q4" s="6" t="str">
        <f t="shared" si="2"/>
        <v/>
      </c>
      <c r="R4" s="12" t="str">
        <f t="shared" si="3"/>
        <v/>
      </c>
      <c r="U4" s="1" t="str">
        <f t="shared" ref="U4:U6" si="4">IF(T4="","",P4/(T4*24))</f>
        <v/>
      </c>
    </row>
    <row r="5" spans="1:21" s="16" customFormat="1" x14ac:dyDescent="0.25">
      <c r="A5" s="16">
        <v>2</v>
      </c>
      <c r="B5" s="16">
        <v>4</v>
      </c>
      <c r="C5" s="16" t="s">
        <v>93</v>
      </c>
      <c r="D5" s="16" t="s">
        <v>12</v>
      </c>
      <c r="E5" s="16" t="s">
        <v>8</v>
      </c>
      <c r="F5" s="17">
        <v>29658.79</v>
      </c>
      <c r="G5" s="17">
        <v>29680.690000000002</v>
      </c>
      <c r="H5" s="18">
        <v>21.9</v>
      </c>
      <c r="I5" s="33"/>
      <c r="J5" s="19"/>
      <c r="K5" s="19"/>
      <c r="L5" s="19"/>
      <c r="M5" s="25">
        <v>0.57499999999999996</v>
      </c>
      <c r="N5" s="19">
        <f t="shared" si="0"/>
        <v>12.592499999999998</v>
      </c>
      <c r="O5" s="19" t="str">
        <f>IF(AND(E5="Trip",A7&lt;&gt;A5),SUM(N4:N6),"")</f>
        <v/>
      </c>
      <c r="P5" s="20" t="str">
        <f t="shared" si="1"/>
        <v/>
      </c>
      <c r="Q5" s="21" t="str">
        <f t="shared" si="2"/>
        <v/>
      </c>
      <c r="R5" s="22" t="str">
        <f t="shared" si="3"/>
        <v/>
      </c>
      <c r="S5" s="19"/>
      <c r="U5" s="38" t="str">
        <f t="shared" si="4"/>
        <v/>
      </c>
    </row>
    <row r="6" spans="1:21" s="16" customFormat="1" x14ac:dyDescent="0.25">
      <c r="A6" s="16">
        <v>2</v>
      </c>
      <c r="B6" s="16">
        <v>5</v>
      </c>
      <c r="C6" s="16" t="s">
        <v>12</v>
      </c>
      <c r="D6" s="16" t="s">
        <v>13</v>
      </c>
      <c r="E6" s="16" t="s">
        <v>0</v>
      </c>
      <c r="F6" s="17">
        <v>29680.690000000002</v>
      </c>
      <c r="G6" s="17">
        <v>29700.160000000003</v>
      </c>
      <c r="H6" s="18">
        <v>19.47</v>
      </c>
      <c r="I6" s="33">
        <v>3.9583333333333331E-2</v>
      </c>
      <c r="J6" s="19">
        <v>36.520000000000003</v>
      </c>
      <c r="K6" s="19">
        <v>1.7</v>
      </c>
      <c r="L6" s="19">
        <f>0.25*(J6-K6)</f>
        <v>8.7050000000000001</v>
      </c>
      <c r="M6" s="25">
        <v>0.57499999999999996</v>
      </c>
      <c r="N6" s="19">
        <f t="shared" si="0"/>
        <v>11.195249999999998</v>
      </c>
      <c r="O6" s="19">
        <f>IF(AND(E6="Trip",A8&lt;&gt;A6),SUM(N5:N7)+L6+K6,"")</f>
        <v>49.142749999999992</v>
      </c>
      <c r="P6" s="20">
        <f t="shared" si="1"/>
        <v>-12.622749999999989</v>
      </c>
      <c r="Q6" s="21">
        <f t="shared" si="2"/>
        <v>-0.3456393756845561</v>
      </c>
      <c r="R6" s="22">
        <f t="shared" si="3"/>
        <v>-0.3456393756845561</v>
      </c>
      <c r="S6" s="19"/>
      <c r="T6" s="40">
        <v>0.10416666666666667</v>
      </c>
      <c r="U6" s="38">
        <f t="shared" si="4"/>
        <v>-5.0490999999999957</v>
      </c>
    </row>
    <row r="7" spans="1:21" s="16" customFormat="1" x14ac:dyDescent="0.25">
      <c r="A7" s="16">
        <v>2</v>
      </c>
      <c r="B7" s="16">
        <v>6</v>
      </c>
      <c r="C7" s="16" t="s">
        <v>13</v>
      </c>
      <c r="D7" s="16" t="s">
        <v>93</v>
      </c>
      <c r="E7" s="16" t="s">
        <v>9</v>
      </c>
      <c r="F7" s="17">
        <v>29700.160000000003</v>
      </c>
      <c r="G7" s="17">
        <v>29726.16</v>
      </c>
      <c r="H7" s="18">
        <v>26</v>
      </c>
      <c r="I7" s="33"/>
      <c r="J7" s="19"/>
      <c r="K7" s="19"/>
      <c r="L7" s="19"/>
      <c r="M7" s="25">
        <v>0.57499999999999996</v>
      </c>
      <c r="N7" s="19">
        <f t="shared" si="0"/>
        <v>14.95</v>
      </c>
      <c r="O7" s="19" t="str">
        <f>IF(AND(E7="Trip",A9&lt;&gt;A7),SUM(N6:N8),"")</f>
        <v/>
      </c>
      <c r="P7" s="20" t="str">
        <f t="shared" si="1"/>
        <v/>
      </c>
      <c r="Q7" s="21" t="str">
        <f t="shared" si="2"/>
        <v/>
      </c>
      <c r="R7" s="22" t="str">
        <f t="shared" si="3"/>
        <v/>
      </c>
      <c r="S7" s="19"/>
    </row>
    <row r="8" spans="1:21" x14ac:dyDescent="0.25">
      <c r="A8">
        <v>3</v>
      </c>
      <c r="B8">
        <v>7</v>
      </c>
      <c r="C8" t="s">
        <v>93</v>
      </c>
      <c r="D8" t="s">
        <v>16</v>
      </c>
      <c r="E8" t="s">
        <v>8</v>
      </c>
      <c r="F8" s="15">
        <v>29726.16</v>
      </c>
      <c r="G8" s="15">
        <v>29729.66</v>
      </c>
      <c r="H8" s="5">
        <v>3.5</v>
      </c>
      <c r="M8" s="24">
        <v>0.57499999999999996</v>
      </c>
      <c r="N8" s="1">
        <f t="shared" si="0"/>
        <v>2.0124999999999997</v>
      </c>
      <c r="P8" s="7" t="str">
        <f t="shared" si="1"/>
        <v/>
      </c>
      <c r="Q8" s="6" t="str">
        <f t="shared" si="2"/>
        <v/>
      </c>
      <c r="R8" s="12" t="str">
        <f t="shared" si="3"/>
        <v/>
      </c>
    </row>
    <row r="9" spans="1:21" x14ac:dyDescent="0.25">
      <c r="A9">
        <v>3</v>
      </c>
      <c r="B9">
        <v>8</v>
      </c>
      <c r="C9" t="s">
        <v>16</v>
      </c>
      <c r="D9" t="s">
        <v>7</v>
      </c>
      <c r="E9" t="s">
        <v>0</v>
      </c>
      <c r="F9" s="15">
        <v>29729.66</v>
      </c>
      <c r="G9" s="15">
        <v>29734.99</v>
      </c>
      <c r="H9" s="5">
        <v>5.33</v>
      </c>
      <c r="I9" s="32">
        <v>7.2453703703703708E-3</v>
      </c>
      <c r="J9" s="1">
        <v>11.65</v>
      </c>
      <c r="K9" s="1">
        <v>1.7</v>
      </c>
      <c r="L9" s="1">
        <f t="shared" ref="L9" si="5">0.25*(J9-K9)</f>
        <v>2.4875000000000003</v>
      </c>
      <c r="M9" s="24">
        <v>0.57499999999999996</v>
      </c>
      <c r="N9" s="1">
        <f t="shared" si="0"/>
        <v>3.0647499999999996</v>
      </c>
      <c r="O9" s="1">
        <f>IF(AND(E9="Trip",A11&lt;&gt;A9),SUM(N8:N10)+K9+L9,"")</f>
        <v>14.324749999999998</v>
      </c>
      <c r="P9" s="7">
        <f t="shared" si="1"/>
        <v>-2.6747499999999977</v>
      </c>
      <c r="Q9" s="6">
        <f t="shared" si="2"/>
        <v>-0.22959227467811139</v>
      </c>
      <c r="R9" s="12">
        <f t="shared" si="3"/>
        <v>-0.22959227467811139</v>
      </c>
      <c r="T9" s="39">
        <v>2.4305555555555556E-2</v>
      </c>
      <c r="U9" s="1">
        <f t="shared" ref="U9:U28" si="6">IF(T9="","",P9/(T9*24))</f>
        <v>-4.5852857142857104</v>
      </c>
    </row>
    <row r="10" spans="1:21" x14ac:dyDescent="0.25">
      <c r="A10">
        <v>3</v>
      </c>
      <c r="B10">
        <v>9</v>
      </c>
      <c r="C10" t="s">
        <v>7</v>
      </c>
      <c r="D10" t="s">
        <v>93</v>
      </c>
      <c r="E10" t="s">
        <v>9</v>
      </c>
      <c r="F10" s="15">
        <v>29734.99</v>
      </c>
      <c r="G10" s="15">
        <v>29743.79</v>
      </c>
      <c r="H10" s="5">
        <v>8.8000000000000007</v>
      </c>
      <c r="M10" s="24">
        <v>0.57499999999999996</v>
      </c>
      <c r="N10" s="1">
        <f t="shared" si="0"/>
        <v>5.0599999999999996</v>
      </c>
      <c r="O10" s="1" t="str">
        <f>IF(AND(E10="Trip",A12&lt;&gt;A10),SUM(N9:N11),"")</f>
        <v/>
      </c>
      <c r="P10" s="7" t="str">
        <f t="shared" si="1"/>
        <v/>
      </c>
      <c r="Q10" s="6" t="str">
        <f t="shared" si="2"/>
        <v/>
      </c>
      <c r="R10" s="12" t="str">
        <f t="shared" si="3"/>
        <v/>
      </c>
      <c r="U10" s="1" t="str">
        <f t="shared" si="6"/>
        <v/>
      </c>
    </row>
    <row r="11" spans="1:21" s="16" customFormat="1" x14ac:dyDescent="0.25">
      <c r="A11" s="16">
        <v>4</v>
      </c>
      <c r="B11" s="16">
        <v>10</v>
      </c>
      <c r="C11" s="16" t="s">
        <v>34</v>
      </c>
      <c r="D11" s="16" t="s">
        <v>33</v>
      </c>
      <c r="E11" s="16" t="s">
        <v>8</v>
      </c>
      <c r="F11" s="17">
        <v>29744.79</v>
      </c>
      <c r="G11" s="17">
        <v>29748.79</v>
      </c>
      <c r="H11" s="18">
        <v>4</v>
      </c>
      <c r="I11" s="33"/>
      <c r="J11" s="19"/>
      <c r="K11" s="19"/>
      <c r="L11" s="19"/>
      <c r="M11" s="25">
        <v>0.57499999999999996</v>
      </c>
      <c r="N11" s="19">
        <f t="shared" si="0"/>
        <v>2.2999999999999998</v>
      </c>
      <c r="O11" s="19" t="str">
        <f>IF(AND(E11="Trip",A13&lt;&gt;A11),SUM(N10:N12),"")</f>
        <v/>
      </c>
      <c r="P11" s="20" t="str">
        <f t="shared" si="1"/>
        <v/>
      </c>
      <c r="Q11" s="21" t="str">
        <f t="shared" si="2"/>
        <v/>
      </c>
      <c r="R11" s="22" t="str">
        <f t="shared" si="3"/>
        <v/>
      </c>
      <c r="S11" s="19"/>
      <c r="U11" s="38" t="str">
        <f t="shared" si="6"/>
        <v/>
      </c>
    </row>
    <row r="12" spans="1:21" s="16" customFormat="1" x14ac:dyDescent="0.25">
      <c r="A12" s="16">
        <v>4</v>
      </c>
      <c r="B12" s="16">
        <v>11</v>
      </c>
      <c r="C12" s="16" t="s">
        <v>33</v>
      </c>
      <c r="D12" s="16" t="s">
        <v>95</v>
      </c>
      <c r="E12" s="16" t="s">
        <v>0</v>
      </c>
      <c r="F12" s="17">
        <v>29748.79</v>
      </c>
      <c r="G12" s="17">
        <v>29753.190000000002</v>
      </c>
      <c r="H12" s="18">
        <v>4.4000000000000004</v>
      </c>
      <c r="I12" s="33">
        <v>1.0798611111111111E-2</v>
      </c>
      <c r="J12" s="19">
        <v>11.64</v>
      </c>
      <c r="K12" s="19">
        <v>1.7</v>
      </c>
      <c r="L12" s="19">
        <f t="shared" ref="L12" si="7">0.25*(J12-K12)</f>
        <v>2.4850000000000003</v>
      </c>
      <c r="M12" s="25">
        <v>0.57499999999999996</v>
      </c>
      <c r="N12" s="19">
        <f t="shared" si="0"/>
        <v>2.5299999999999998</v>
      </c>
      <c r="O12" s="19">
        <f>IF(AND(E12="Trip",A14&lt;&gt;A12),SUM(N11:N13)+L12+K12,"")</f>
        <v>9.1875</v>
      </c>
      <c r="P12" s="20">
        <f t="shared" si="1"/>
        <v>2.4525000000000006</v>
      </c>
      <c r="Q12" s="21">
        <f t="shared" si="2"/>
        <v>0.21069587628865982</v>
      </c>
      <c r="R12" s="22">
        <f t="shared" si="3"/>
        <v>0.21069587628865982</v>
      </c>
      <c r="S12" s="19"/>
      <c r="T12" s="40">
        <v>1.3888888888888888E-2</v>
      </c>
      <c r="U12" s="38">
        <f t="shared" si="6"/>
        <v>7.3575000000000017</v>
      </c>
    </row>
    <row r="13" spans="1:21" s="16" customFormat="1" x14ac:dyDescent="0.25">
      <c r="A13" s="16">
        <v>4</v>
      </c>
      <c r="B13" s="16">
        <v>12</v>
      </c>
      <c r="C13" s="16" t="s">
        <v>5</v>
      </c>
      <c r="D13" s="16" t="s">
        <v>93</v>
      </c>
      <c r="E13" s="16" t="s">
        <v>9</v>
      </c>
      <c r="F13" s="17">
        <v>29753.190000000002</v>
      </c>
      <c r="G13" s="17">
        <v>29753.49</v>
      </c>
      <c r="H13" s="18">
        <v>0.3</v>
      </c>
      <c r="I13" s="33"/>
      <c r="J13" s="19"/>
      <c r="K13" s="19"/>
      <c r="L13" s="19"/>
      <c r="M13" s="25">
        <v>0.57499999999999996</v>
      </c>
      <c r="N13" s="19">
        <f t="shared" si="0"/>
        <v>0.17249999999999999</v>
      </c>
      <c r="O13" s="19" t="str">
        <f>IF(AND(E13="Trip",A15&lt;&gt;A13),SUM(N12:N14),"")</f>
        <v/>
      </c>
      <c r="P13" s="20" t="str">
        <f t="shared" si="1"/>
        <v/>
      </c>
      <c r="Q13" s="21" t="str">
        <f t="shared" si="2"/>
        <v/>
      </c>
      <c r="R13" s="22" t="str">
        <f t="shared" si="3"/>
        <v/>
      </c>
      <c r="S13" s="19"/>
    </row>
    <row r="14" spans="1:21" x14ac:dyDescent="0.25">
      <c r="A14">
        <v>5</v>
      </c>
      <c r="B14">
        <v>13</v>
      </c>
      <c r="C14" s="29" t="s">
        <v>93</v>
      </c>
      <c r="D14" t="s">
        <v>16</v>
      </c>
      <c r="E14" t="s">
        <v>8</v>
      </c>
      <c r="F14" s="15">
        <v>29753.49</v>
      </c>
      <c r="G14" s="15">
        <v>29757.49</v>
      </c>
      <c r="H14" s="5">
        <v>4</v>
      </c>
      <c r="M14" s="24">
        <v>0.57499999999999996</v>
      </c>
      <c r="N14" s="1">
        <f t="shared" si="0"/>
        <v>2.2999999999999998</v>
      </c>
      <c r="P14" s="7" t="str">
        <f t="shared" si="1"/>
        <v/>
      </c>
      <c r="Q14" s="6" t="str">
        <f t="shared" si="2"/>
        <v/>
      </c>
      <c r="R14" s="12" t="str">
        <f t="shared" si="3"/>
        <v/>
      </c>
    </row>
    <row r="15" spans="1:21" x14ac:dyDescent="0.25">
      <c r="A15">
        <v>5</v>
      </c>
      <c r="B15">
        <v>14</v>
      </c>
      <c r="C15" s="29" t="s">
        <v>16</v>
      </c>
      <c r="D15" s="29" t="s">
        <v>35</v>
      </c>
      <c r="E15" t="s">
        <v>0</v>
      </c>
      <c r="F15" s="15">
        <v>29757.49</v>
      </c>
      <c r="G15" s="15">
        <v>29758.170000000002</v>
      </c>
      <c r="H15" s="5">
        <v>0.68</v>
      </c>
      <c r="I15" s="32">
        <v>1.0300925925925926E-3</v>
      </c>
      <c r="J15" s="1">
        <v>5</v>
      </c>
      <c r="K15" s="1">
        <v>1.7</v>
      </c>
      <c r="L15" s="1">
        <f t="shared" ref="L15" si="8">0.25*(J15-K15)</f>
        <v>0.82499999999999996</v>
      </c>
      <c r="M15" s="24">
        <v>0.57499999999999996</v>
      </c>
      <c r="N15" s="1">
        <f t="shared" si="0"/>
        <v>0.39100000000000001</v>
      </c>
      <c r="O15" s="1">
        <f>IF(AND(E15="Trip",A17&lt;&gt;A15),SUM(N14:N16)+K15+L15,"")</f>
        <v>7.516</v>
      </c>
      <c r="P15" s="7">
        <f t="shared" si="1"/>
        <v>-2.516</v>
      </c>
      <c r="Q15" s="6">
        <f t="shared" si="2"/>
        <v>-0.50319999999999998</v>
      </c>
      <c r="R15" s="12">
        <f t="shared" si="3"/>
        <v>-0.50319999999999998</v>
      </c>
      <c r="S15" s="1">
        <v>10</v>
      </c>
      <c r="T15" s="39">
        <v>1.0416666666666666E-2</v>
      </c>
      <c r="U15" s="1">
        <f t="shared" ref="U15" si="9">IF(T15="","",P15/(T15*24))</f>
        <v>-10.064</v>
      </c>
    </row>
    <row r="16" spans="1:21" x14ac:dyDescent="0.25">
      <c r="A16">
        <v>5</v>
      </c>
      <c r="B16">
        <v>15</v>
      </c>
      <c r="C16" s="29" t="s">
        <v>35</v>
      </c>
      <c r="D16" s="29" t="s">
        <v>37</v>
      </c>
      <c r="E16" t="s">
        <v>9</v>
      </c>
      <c r="F16" s="15">
        <v>29758.170000000002</v>
      </c>
      <c r="G16" s="15">
        <v>29762.170000000002</v>
      </c>
      <c r="H16" s="5">
        <v>4</v>
      </c>
      <c r="M16" s="24">
        <v>0.57499999999999996</v>
      </c>
      <c r="N16" s="1">
        <f t="shared" si="0"/>
        <v>2.2999999999999998</v>
      </c>
      <c r="O16" s="1" t="str">
        <f>IF(AND(E16="Trip",A18&lt;&gt;A16),SUM(N15:N17),"")</f>
        <v/>
      </c>
      <c r="P16" s="7" t="str">
        <f t="shared" si="1"/>
        <v/>
      </c>
      <c r="Q16" s="6" t="str">
        <f t="shared" si="2"/>
        <v/>
      </c>
      <c r="R16" s="12" t="str">
        <f t="shared" si="3"/>
        <v/>
      </c>
      <c r="U16" s="1" t="str">
        <f t="shared" si="6"/>
        <v/>
      </c>
    </row>
    <row r="17" spans="1:23" s="16" customFormat="1" x14ac:dyDescent="0.25">
      <c r="A17" s="16">
        <v>6</v>
      </c>
      <c r="B17" s="16">
        <v>16</v>
      </c>
      <c r="C17" s="16" t="s">
        <v>37</v>
      </c>
      <c r="D17" s="16" t="s">
        <v>11</v>
      </c>
      <c r="E17" s="16" t="s">
        <v>8</v>
      </c>
      <c r="F17" s="17">
        <v>29762.170000000002</v>
      </c>
      <c r="G17" s="17">
        <v>29763.670000000002</v>
      </c>
      <c r="H17" s="18">
        <v>1.5</v>
      </c>
      <c r="I17" s="33"/>
      <c r="J17" s="19"/>
      <c r="K17" s="19"/>
      <c r="L17" s="19"/>
      <c r="M17" s="25">
        <v>0.57499999999999996</v>
      </c>
      <c r="N17" s="19">
        <f t="shared" si="0"/>
        <v>0.86249999999999993</v>
      </c>
      <c r="O17" s="19" t="str">
        <f>IF(AND(E17="Trip",A19&lt;&gt;A17),SUM(N16:N18),"")</f>
        <v/>
      </c>
      <c r="P17" s="20" t="str">
        <f t="shared" si="1"/>
        <v/>
      </c>
      <c r="Q17" s="21" t="str">
        <f t="shared" si="2"/>
        <v/>
      </c>
      <c r="R17" s="22" t="str">
        <f t="shared" si="3"/>
        <v/>
      </c>
      <c r="S17" s="19"/>
      <c r="U17" s="38" t="str">
        <f t="shared" si="6"/>
        <v/>
      </c>
    </row>
    <row r="18" spans="1:23" s="16" customFormat="1" x14ac:dyDescent="0.25">
      <c r="A18" s="16">
        <v>6</v>
      </c>
      <c r="B18" s="16">
        <v>17</v>
      </c>
      <c r="C18" s="16" t="s">
        <v>11</v>
      </c>
      <c r="D18" s="16" t="s">
        <v>94</v>
      </c>
      <c r="E18" s="16" t="s">
        <v>0</v>
      </c>
      <c r="F18" s="17">
        <v>29763.670000000002</v>
      </c>
      <c r="G18" s="17">
        <v>29768.93</v>
      </c>
      <c r="H18" s="18">
        <v>5.26</v>
      </c>
      <c r="I18" s="33">
        <v>8.7847222222222233E-3</v>
      </c>
      <c r="J18" s="19">
        <v>12.01</v>
      </c>
      <c r="K18" s="19">
        <v>1.7</v>
      </c>
      <c r="L18" s="19">
        <f t="shared" ref="L18" si="10">0.25*(J18-K18)</f>
        <v>2.5775000000000001</v>
      </c>
      <c r="M18" s="25">
        <v>0.57499999999999996</v>
      </c>
      <c r="N18" s="19">
        <f t="shared" si="0"/>
        <v>3.0244999999999997</v>
      </c>
      <c r="O18" s="19">
        <f>IF(AND(E18="Trip",A20&lt;&gt;A18),SUM(N17:N19)+L18+K18,"")</f>
        <v>11.6145</v>
      </c>
      <c r="P18" s="20">
        <f t="shared" si="1"/>
        <v>0.39550000000000018</v>
      </c>
      <c r="Q18" s="21">
        <f t="shared" si="2"/>
        <v>3.2930890924229822E-2</v>
      </c>
      <c r="R18" s="22">
        <f t="shared" si="3"/>
        <v>3.2930890924229822E-2</v>
      </c>
      <c r="S18" s="19"/>
      <c r="T18" s="40">
        <v>1.3888888888888888E-2</v>
      </c>
      <c r="U18" s="38">
        <f t="shared" si="6"/>
        <v>1.1865000000000006</v>
      </c>
    </row>
    <row r="19" spans="1:23" s="16" customFormat="1" x14ac:dyDescent="0.25">
      <c r="A19" s="16">
        <v>6</v>
      </c>
      <c r="B19" s="16">
        <v>18</v>
      </c>
      <c r="C19" s="16" t="s">
        <v>94</v>
      </c>
      <c r="D19" s="16" t="s">
        <v>93</v>
      </c>
      <c r="E19" s="16" t="s">
        <v>9</v>
      </c>
      <c r="F19" s="17">
        <v>29768.93</v>
      </c>
      <c r="G19" s="17">
        <v>29774.93</v>
      </c>
      <c r="H19" s="18">
        <v>6</v>
      </c>
      <c r="I19" s="33"/>
      <c r="J19" s="19"/>
      <c r="K19" s="19"/>
      <c r="L19" s="19"/>
      <c r="M19" s="25">
        <v>0.57499999999999996</v>
      </c>
      <c r="N19" s="19">
        <f t="shared" si="0"/>
        <v>3.4499999999999997</v>
      </c>
      <c r="O19" s="19" t="str">
        <f>IF(AND(E19="Trip",A21&lt;&gt;A19),SUM(N18:N20),"")</f>
        <v/>
      </c>
      <c r="P19" s="20" t="str">
        <f t="shared" si="1"/>
        <v/>
      </c>
      <c r="Q19" s="21" t="str">
        <f t="shared" si="2"/>
        <v/>
      </c>
      <c r="R19" s="22" t="str">
        <f t="shared" si="3"/>
        <v/>
      </c>
      <c r="S19" s="19"/>
    </row>
    <row r="20" spans="1:23" x14ac:dyDescent="0.25">
      <c r="A20">
        <v>7</v>
      </c>
      <c r="B20">
        <v>19</v>
      </c>
      <c r="C20" t="s">
        <v>93</v>
      </c>
      <c r="D20" t="s">
        <v>5</v>
      </c>
      <c r="E20" t="s">
        <v>8</v>
      </c>
      <c r="F20" s="15">
        <v>29776.93</v>
      </c>
      <c r="G20" s="15">
        <v>29777.93</v>
      </c>
      <c r="H20" s="5">
        <v>1</v>
      </c>
      <c r="M20" s="24">
        <v>0.57499999999999996</v>
      </c>
      <c r="N20" s="1">
        <f t="shared" si="0"/>
        <v>0.57499999999999996</v>
      </c>
      <c r="P20" s="7" t="str">
        <f t="shared" si="1"/>
        <v/>
      </c>
      <c r="Q20" s="6" t="str">
        <f t="shared" si="2"/>
        <v/>
      </c>
      <c r="R20" s="12" t="str">
        <f t="shared" si="3"/>
        <v/>
      </c>
    </row>
    <row r="21" spans="1:23" x14ac:dyDescent="0.25">
      <c r="A21">
        <v>7</v>
      </c>
      <c r="B21">
        <v>20</v>
      </c>
      <c r="C21" t="s">
        <v>5</v>
      </c>
      <c r="D21" t="s">
        <v>11</v>
      </c>
      <c r="E21" t="s">
        <v>0</v>
      </c>
      <c r="F21" s="15">
        <v>29777.93</v>
      </c>
      <c r="G21" s="15">
        <v>29779.32</v>
      </c>
      <c r="H21" s="5">
        <v>1.39</v>
      </c>
      <c r="I21" s="32">
        <v>2.6041666666666665E-3</v>
      </c>
      <c r="J21" s="1">
        <v>5.98</v>
      </c>
      <c r="K21" s="1">
        <v>1.7</v>
      </c>
      <c r="L21" s="1">
        <f t="shared" ref="L21" si="11">0.25*(J21-K21)</f>
        <v>1.07</v>
      </c>
      <c r="M21" s="24">
        <v>0.57499999999999996</v>
      </c>
      <c r="N21" s="1">
        <f t="shared" si="0"/>
        <v>0.7992499999999999</v>
      </c>
      <c r="O21" s="1">
        <f>IF(AND(E21="Trip",A23&lt;&gt;A21),SUM(N20:N22)+K21+L21,"")</f>
        <v>4.3167499999999999</v>
      </c>
      <c r="P21" s="7">
        <f t="shared" si="1"/>
        <v>1.6632500000000006</v>
      </c>
      <c r="Q21" s="6">
        <f t="shared" si="2"/>
        <v>0.27813545150501678</v>
      </c>
      <c r="R21" s="12">
        <f t="shared" si="3"/>
        <v>0.27813545150501678</v>
      </c>
      <c r="T21" s="39">
        <v>1.0416666666666666E-2</v>
      </c>
      <c r="U21" s="1">
        <f t="shared" ref="U21" si="12">IF(T21="","",P21/(T21*24))</f>
        <v>6.6530000000000022</v>
      </c>
    </row>
    <row r="22" spans="1:23" x14ac:dyDescent="0.25">
      <c r="A22">
        <v>7</v>
      </c>
      <c r="B22">
        <v>21</v>
      </c>
      <c r="C22" t="s">
        <v>11</v>
      </c>
      <c r="D22" t="s">
        <v>93</v>
      </c>
      <c r="E22" t="s">
        <v>9</v>
      </c>
      <c r="F22" s="15">
        <v>29779.32</v>
      </c>
      <c r="G22" s="15">
        <v>29779.62</v>
      </c>
      <c r="H22" s="5">
        <v>0.3</v>
      </c>
      <c r="M22" s="24">
        <v>0.57499999999999996</v>
      </c>
      <c r="N22" s="1">
        <f t="shared" si="0"/>
        <v>0.17249999999999999</v>
      </c>
      <c r="O22" s="1" t="str">
        <f>IF(AND(E22="Trip",A24&lt;&gt;A22),SUM(N21:N23),"")</f>
        <v/>
      </c>
      <c r="P22" s="7" t="str">
        <f t="shared" si="1"/>
        <v/>
      </c>
      <c r="Q22" s="6" t="str">
        <f t="shared" si="2"/>
        <v/>
      </c>
      <c r="R22" s="12" t="str">
        <f t="shared" si="3"/>
        <v/>
      </c>
      <c r="U22" s="1" t="str">
        <f t="shared" si="6"/>
        <v/>
      </c>
    </row>
    <row r="23" spans="1:23" s="16" customFormat="1" x14ac:dyDescent="0.25">
      <c r="A23" s="16">
        <v>8</v>
      </c>
      <c r="B23" s="16">
        <v>22</v>
      </c>
      <c r="C23" s="16" t="s">
        <v>93</v>
      </c>
      <c r="D23" s="16" t="s">
        <v>5</v>
      </c>
      <c r="E23" s="16" t="s">
        <v>8</v>
      </c>
      <c r="F23" s="17">
        <v>29781.62</v>
      </c>
      <c r="G23" s="17">
        <v>29782.719999999998</v>
      </c>
      <c r="H23" s="18">
        <v>1.1000000000000001</v>
      </c>
      <c r="I23" s="33"/>
      <c r="J23" s="19"/>
      <c r="K23" s="19"/>
      <c r="L23" s="19"/>
      <c r="M23" s="25">
        <v>0.57499999999999996</v>
      </c>
      <c r="N23" s="19">
        <f t="shared" si="0"/>
        <v>0.63249999999999995</v>
      </c>
      <c r="O23" s="19" t="str">
        <f>IF(AND(E23="Trip",A25&lt;&gt;A23),SUM(N22:N24),"")</f>
        <v/>
      </c>
      <c r="P23" s="20" t="str">
        <f t="shared" si="1"/>
        <v/>
      </c>
      <c r="Q23" s="21" t="str">
        <f t="shared" si="2"/>
        <v/>
      </c>
      <c r="R23" s="22" t="str">
        <f t="shared" si="3"/>
        <v/>
      </c>
      <c r="S23" s="19"/>
      <c r="U23" s="38" t="str">
        <f t="shared" si="6"/>
        <v/>
      </c>
    </row>
    <row r="24" spans="1:23" s="16" customFormat="1" x14ac:dyDescent="0.25">
      <c r="A24" s="16">
        <v>8</v>
      </c>
      <c r="B24" s="16">
        <v>23</v>
      </c>
      <c r="C24" s="16" t="s">
        <v>5</v>
      </c>
      <c r="D24" s="16" t="s">
        <v>7</v>
      </c>
      <c r="E24" s="16" t="s">
        <v>0</v>
      </c>
      <c r="F24" s="17">
        <v>29782.719999999998</v>
      </c>
      <c r="G24" s="17">
        <v>29792.62</v>
      </c>
      <c r="H24" s="18">
        <v>9.9</v>
      </c>
      <c r="I24" s="33">
        <v>1.329861111111111E-2</v>
      </c>
      <c r="J24" s="19">
        <v>18.170000000000002</v>
      </c>
      <c r="K24" s="19">
        <v>1.7</v>
      </c>
      <c r="L24" s="19">
        <f t="shared" ref="L24" si="13">0.25*(J24-K24)</f>
        <v>4.1175000000000006</v>
      </c>
      <c r="M24" s="25">
        <v>0.57499999999999996</v>
      </c>
      <c r="N24" s="19">
        <f t="shared" si="0"/>
        <v>5.6924999999999999</v>
      </c>
      <c r="O24" s="19">
        <f>IF(AND(E24="Trip",A26&lt;&gt;A24),SUM(N23:N25)+L24+K24,"")</f>
        <v>17.605</v>
      </c>
      <c r="P24" s="20">
        <f t="shared" si="1"/>
        <v>0.56500000000000128</v>
      </c>
      <c r="Q24" s="21">
        <f t="shared" si="2"/>
        <v>3.1095211887727091E-2</v>
      </c>
      <c r="R24" s="22">
        <f t="shared" si="3"/>
        <v>3.1095211887727091E-2</v>
      </c>
      <c r="S24" s="19">
        <f>50-17</f>
        <v>33</v>
      </c>
      <c r="T24" s="40">
        <v>3.125E-2</v>
      </c>
      <c r="U24" s="38">
        <f t="shared" si="6"/>
        <v>0.75333333333333508</v>
      </c>
    </row>
    <row r="25" spans="1:23" s="16" customFormat="1" x14ac:dyDescent="0.25">
      <c r="A25" s="16">
        <v>8</v>
      </c>
      <c r="B25" s="16">
        <v>24</v>
      </c>
      <c r="C25" s="16" t="s">
        <v>7</v>
      </c>
      <c r="D25" s="16" t="s">
        <v>93</v>
      </c>
      <c r="E25" s="16" t="s">
        <v>9</v>
      </c>
      <c r="F25" s="17">
        <v>29792.62</v>
      </c>
      <c r="G25" s="17">
        <v>29802.12</v>
      </c>
      <c r="H25" s="18">
        <v>9.5</v>
      </c>
      <c r="I25" s="33"/>
      <c r="J25" s="19"/>
      <c r="K25" s="19"/>
      <c r="L25" s="19"/>
      <c r="M25" s="25">
        <v>0.57499999999999996</v>
      </c>
      <c r="N25" s="19">
        <f t="shared" si="0"/>
        <v>5.4624999999999995</v>
      </c>
      <c r="O25" s="19" t="str">
        <f>IF(AND(E25="Trip",A27&lt;&gt;A25),SUM(N24:N26),"")</f>
        <v/>
      </c>
      <c r="P25" s="20" t="str">
        <f t="shared" si="1"/>
        <v/>
      </c>
      <c r="Q25" s="21" t="str">
        <f t="shared" si="2"/>
        <v/>
      </c>
      <c r="R25" s="22" t="str">
        <f t="shared" si="3"/>
        <v/>
      </c>
      <c r="S25" s="19"/>
    </row>
    <row r="26" spans="1:23" x14ac:dyDescent="0.25">
      <c r="A26">
        <v>9</v>
      </c>
      <c r="B26">
        <v>25</v>
      </c>
      <c r="C26" t="s">
        <v>93</v>
      </c>
      <c r="D26" t="s">
        <v>16</v>
      </c>
      <c r="E26" t="s">
        <v>8</v>
      </c>
      <c r="F26" s="15">
        <v>30662.12</v>
      </c>
      <c r="G26" s="15">
        <v>30666.32</v>
      </c>
      <c r="H26" s="5">
        <v>4.2</v>
      </c>
      <c r="M26" s="24">
        <v>0.57499999999999996</v>
      </c>
      <c r="N26" s="1">
        <f t="shared" ref="N26:N31" si="14">M26*H26</f>
        <v>2.415</v>
      </c>
      <c r="P26" s="7" t="str">
        <f t="shared" si="1"/>
        <v/>
      </c>
      <c r="Q26" s="6" t="str">
        <f t="shared" si="2"/>
        <v/>
      </c>
      <c r="R26" s="12" t="str">
        <f t="shared" si="3"/>
        <v/>
      </c>
    </row>
    <row r="27" spans="1:23" x14ac:dyDescent="0.25">
      <c r="A27">
        <v>9</v>
      </c>
      <c r="B27">
        <v>26</v>
      </c>
      <c r="C27" t="s">
        <v>16</v>
      </c>
      <c r="D27" t="s">
        <v>21</v>
      </c>
      <c r="E27" t="s">
        <v>0</v>
      </c>
      <c r="F27" s="15">
        <v>30666.32</v>
      </c>
      <c r="G27" s="15">
        <v>30675.82</v>
      </c>
      <c r="H27" s="5">
        <v>9.5</v>
      </c>
      <c r="I27" s="32">
        <v>1.4918981481481483E-2</v>
      </c>
      <c r="J27" s="1">
        <v>18.45</v>
      </c>
      <c r="K27" s="1">
        <v>1.7</v>
      </c>
      <c r="L27" s="1">
        <f t="shared" ref="L27" si="15">0.25*(J27-K27)</f>
        <v>4.1875</v>
      </c>
      <c r="M27" s="24">
        <v>0.57499999999999996</v>
      </c>
      <c r="N27" s="1">
        <f t="shared" si="14"/>
        <v>5.4624999999999995</v>
      </c>
      <c r="O27" s="1">
        <f>IF(AND(E27="Trip",A29&lt;&gt;A27),SUM(N26:N28)+K27+L27,"")</f>
        <v>21.125</v>
      </c>
      <c r="P27" s="7">
        <f t="shared" si="1"/>
        <v>-2.6750000000000007</v>
      </c>
      <c r="Q27" s="6">
        <f t="shared" si="2"/>
        <v>-0.14498644986449868</v>
      </c>
      <c r="R27" s="12">
        <f t="shared" si="3"/>
        <v>-0.14498644986449868</v>
      </c>
      <c r="T27" s="39">
        <v>3.4722222222222224E-2</v>
      </c>
      <c r="U27" s="1">
        <f>IF(T27="","",P27/(T27*24))</f>
        <v>-3.2100000000000009</v>
      </c>
    </row>
    <row r="28" spans="1:23" x14ac:dyDescent="0.25">
      <c r="A28">
        <v>9</v>
      </c>
      <c r="B28">
        <v>27</v>
      </c>
      <c r="C28" t="s">
        <v>21</v>
      </c>
      <c r="D28" t="s">
        <v>93</v>
      </c>
      <c r="E28" t="s">
        <v>9</v>
      </c>
      <c r="F28" s="15">
        <v>30675.82</v>
      </c>
      <c r="G28" s="15">
        <v>30688.62</v>
      </c>
      <c r="H28" s="5">
        <v>12.8</v>
      </c>
      <c r="M28" s="24">
        <v>0.57499999999999996</v>
      </c>
      <c r="N28" s="1">
        <f t="shared" si="14"/>
        <v>7.3599999999999994</v>
      </c>
      <c r="O28" s="1" t="str">
        <f>IF(AND(E28="Trip",A30&lt;&gt;A28),SUM(N27:N29),"")</f>
        <v/>
      </c>
      <c r="P28" s="7" t="str">
        <f t="shared" si="1"/>
        <v/>
      </c>
      <c r="Q28" s="6" t="str">
        <f t="shared" si="2"/>
        <v/>
      </c>
      <c r="R28" s="12" t="str">
        <f t="shared" si="3"/>
        <v/>
      </c>
      <c r="U28" s="1" t="str">
        <f t="shared" si="6"/>
        <v/>
      </c>
    </row>
    <row r="29" spans="1:23" s="34" customFormat="1" x14ac:dyDescent="0.25">
      <c r="A29" s="34">
        <v>10</v>
      </c>
      <c r="B29" s="34">
        <v>28</v>
      </c>
      <c r="C29" s="34" t="s">
        <v>93</v>
      </c>
      <c r="D29" s="34" t="s">
        <v>91</v>
      </c>
      <c r="E29" s="16" t="s">
        <v>8</v>
      </c>
      <c r="F29" s="35">
        <v>30688.62</v>
      </c>
      <c r="G29" s="35">
        <v>30690.12</v>
      </c>
      <c r="H29" s="36">
        <v>1.5</v>
      </c>
      <c r="I29" s="37"/>
      <c r="J29" s="38"/>
      <c r="K29" s="19"/>
      <c r="L29" s="19"/>
      <c r="M29" s="25">
        <v>0.57499999999999996</v>
      </c>
      <c r="N29" s="19">
        <f t="shared" si="14"/>
        <v>0.86249999999999993</v>
      </c>
      <c r="O29" s="19" t="str">
        <f>IF(AND(E29="Trip",A31&lt;&gt;A29),SUM(N28:N30),"")</f>
        <v/>
      </c>
      <c r="P29" s="20" t="str">
        <f t="shared" si="1"/>
        <v/>
      </c>
      <c r="Q29" s="21" t="str">
        <f t="shared" si="2"/>
        <v/>
      </c>
      <c r="R29" s="22" t="str">
        <f t="shared" ref="R29:R40" si="16">Q29</f>
        <v/>
      </c>
      <c r="S29" s="19"/>
      <c r="T29" s="16"/>
      <c r="U29" s="38" t="str">
        <f t="shared" ref="U29:U30" si="17">IF(T29="","",P29/(T29*24))</f>
        <v/>
      </c>
      <c r="V29" s="16"/>
      <c r="W29" s="16"/>
    </row>
    <row r="30" spans="1:23" s="34" customFormat="1" x14ac:dyDescent="0.25">
      <c r="A30" s="34">
        <v>10</v>
      </c>
      <c r="B30" s="34">
        <v>29</v>
      </c>
      <c r="C30" s="34" t="s">
        <v>91</v>
      </c>
      <c r="D30" s="34" t="s">
        <v>92</v>
      </c>
      <c r="E30" s="16" t="s">
        <v>0</v>
      </c>
      <c r="F30" s="35">
        <v>30690.12</v>
      </c>
      <c r="G30" s="35">
        <v>30698.32</v>
      </c>
      <c r="H30" s="36">
        <v>8.1999999999999993</v>
      </c>
      <c r="I30" s="37">
        <v>1.2650462962962962E-2</v>
      </c>
      <c r="J30" s="38">
        <v>16.36</v>
      </c>
      <c r="K30" s="19">
        <v>1.7</v>
      </c>
      <c r="L30" s="19">
        <f t="shared" ref="L30" si="18">0.25*(J30-K30)</f>
        <v>3.665</v>
      </c>
      <c r="M30" s="25">
        <v>0.57499999999999996</v>
      </c>
      <c r="N30" s="19">
        <f t="shared" si="14"/>
        <v>4.714999999999999</v>
      </c>
      <c r="O30" s="19">
        <f>IF(AND(E30="Trip",A32&lt;&gt;A30),SUM(N29:N31)+L30+K30,"")</f>
        <v>16.577499999999997</v>
      </c>
      <c r="P30" s="20">
        <f t="shared" si="1"/>
        <v>-0.21749999999999758</v>
      </c>
      <c r="Q30" s="21">
        <f t="shared" si="2"/>
        <v>-1.3294621026894719E-2</v>
      </c>
      <c r="R30" s="22">
        <f t="shared" si="16"/>
        <v>-1.3294621026894719E-2</v>
      </c>
      <c r="S30" s="19"/>
      <c r="T30" s="40">
        <v>3.125E-2</v>
      </c>
      <c r="U30" s="38">
        <f t="shared" si="17"/>
        <v>-0.28999999999999676</v>
      </c>
      <c r="V30" s="16"/>
      <c r="W30" s="16"/>
    </row>
    <row r="31" spans="1:23" s="34" customFormat="1" x14ac:dyDescent="0.25">
      <c r="A31" s="34">
        <v>10</v>
      </c>
      <c r="B31" s="34">
        <v>30</v>
      </c>
      <c r="C31" s="34" t="s">
        <v>92</v>
      </c>
      <c r="D31" s="34" t="s">
        <v>93</v>
      </c>
      <c r="E31" s="16" t="s">
        <v>9</v>
      </c>
      <c r="F31" s="35">
        <v>30698.32</v>
      </c>
      <c r="G31" s="35">
        <v>30708.12</v>
      </c>
      <c r="H31" s="36">
        <v>9.8000000000000007</v>
      </c>
      <c r="I31" s="37"/>
      <c r="J31" s="38"/>
      <c r="K31" s="19"/>
      <c r="L31" s="19"/>
      <c r="M31" s="25">
        <v>0.57499999999999996</v>
      </c>
      <c r="N31" s="19">
        <f t="shared" si="14"/>
        <v>5.6349999999999998</v>
      </c>
      <c r="O31" s="19" t="str">
        <f>IF(AND(E31="Trip",A33&lt;&gt;A31),SUM(N30:N32),"")</f>
        <v/>
      </c>
      <c r="P31" s="20" t="str">
        <f t="shared" si="1"/>
        <v/>
      </c>
      <c r="Q31" s="21" t="str">
        <f t="shared" si="2"/>
        <v/>
      </c>
      <c r="R31" s="22" t="str">
        <f t="shared" si="16"/>
        <v/>
      </c>
      <c r="S31" s="19"/>
      <c r="T31" s="16"/>
      <c r="U31" s="16"/>
      <c r="V31" s="16"/>
      <c r="W31" s="16"/>
    </row>
    <row r="32" spans="1:23" x14ac:dyDescent="0.25">
      <c r="A32">
        <v>11</v>
      </c>
      <c r="B32">
        <v>31</v>
      </c>
      <c r="C32" t="s">
        <v>93</v>
      </c>
      <c r="D32" t="s">
        <v>62</v>
      </c>
      <c r="E32" t="s">
        <v>8</v>
      </c>
      <c r="F32" s="15">
        <v>30708.12</v>
      </c>
      <c r="G32" s="15">
        <v>30710.219999999998</v>
      </c>
      <c r="H32" s="5">
        <v>2.1</v>
      </c>
      <c r="M32" s="24">
        <v>0.57499999999999996</v>
      </c>
      <c r="N32" s="1">
        <f t="shared" ref="N32:N40" si="19">M32*H32</f>
        <v>1.2075</v>
      </c>
      <c r="P32" s="7" t="str">
        <f t="shared" si="1"/>
        <v/>
      </c>
      <c r="Q32" s="6" t="str">
        <f t="shared" si="2"/>
        <v/>
      </c>
      <c r="R32" s="12" t="str">
        <f t="shared" si="16"/>
        <v/>
      </c>
    </row>
    <row r="33" spans="1:23" x14ac:dyDescent="0.25">
      <c r="A33">
        <v>11</v>
      </c>
      <c r="B33">
        <v>32</v>
      </c>
      <c r="C33" t="s">
        <v>62</v>
      </c>
      <c r="D33" t="s">
        <v>63</v>
      </c>
      <c r="E33" t="s">
        <v>0</v>
      </c>
      <c r="F33" s="15">
        <v>30710.219999999998</v>
      </c>
      <c r="G33" s="15">
        <v>30737.999999999996</v>
      </c>
      <c r="H33" s="5">
        <v>27.78</v>
      </c>
      <c r="I33" s="32">
        <v>3.1944444444444449E-2</v>
      </c>
      <c r="J33" s="1">
        <v>43.56</v>
      </c>
      <c r="K33" s="1">
        <v>1.7</v>
      </c>
      <c r="L33" s="1">
        <f t="shared" ref="L33" si="20">0.25*(J33-K33)</f>
        <v>10.465</v>
      </c>
      <c r="M33" s="24">
        <v>0.57499999999999996</v>
      </c>
      <c r="N33" s="1">
        <f t="shared" si="19"/>
        <v>15.9735</v>
      </c>
      <c r="O33" s="1">
        <f>IF(AND(E33="Trip",A35&lt;&gt;A33),SUM(N32:N34)+K33+L33,"")</f>
        <v>44.296000000000006</v>
      </c>
      <c r="P33" s="7">
        <f t="shared" si="1"/>
        <v>-0.73600000000000421</v>
      </c>
      <c r="Q33" s="6">
        <f t="shared" si="2"/>
        <v>-1.6896235078053354E-2</v>
      </c>
      <c r="R33" s="12">
        <f t="shared" si="16"/>
        <v>-1.6896235078053354E-2</v>
      </c>
      <c r="T33" s="39">
        <v>6.25E-2</v>
      </c>
      <c r="U33" s="1">
        <f t="shared" ref="U33:U36" si="21">IF(T33="","",P33/(T33*24))</f>
        <v>-0.49066666666666947</v>
      </c>
    </row>
    <row r="34" spans="1:23" x14ac:dyDescent="0.25">
      <c r="A34">
        <v>11</v>
      </c>
      <c r="B34">
        <v>33</v>
      </c>
      <c r="C34" t="s">
        <v>63</v>
      </c>
      <c r="D34" t="s">
        <v>93</v>
      </c>
      <c r="E34" t="s">
        <v>9</v>
      </c>
      <c r="F34" s="15">
        <v>30737.999999999996</v>
      </c>
      <c r="G34" s="15">
        <v>30764</v>
      </c>
      <c r="H34" s="5">
        <v>26</v>
      </c>
      <c r="M34" s="24">
        <v>0.57499999999999996</v>
      </c>
      <c r="N34" s="1">
        <f t="shared" si="19"/>
        <v>14.95</v>
      </c>
      <c r="O34" s="1" t="str">
        <f>IF(AND(E34="Trip",A36&lt;&gt;A34),SUM(N33:N35),"")</f>
        <v/>
      </c>
      <c r="P34" s="7" t="str">
        <f t="shared" ref="P34:P55" si="22">IF(J34="","",J34-O34)</f>
        <v/>
      </c>
      <c r="Q34" s="6" t="str">
        <f t="shared" ref="Q34:Q55" si="23">IF(J34="","",P34/J34)</f>
        <v/>
      </c>
      <c r="R34" s="12" t="str">
        <f t="shared" si="16"/>
        <v/>
      </c>
      <c r="U34" s="1" t="str">
        <f t="shared" si="21"/>
        <v/>
      </c>
    </row>
    <row r="35" spans="1:23" s="34" customFormat="1" x14ac:dyDescent="0.25">
      <c r="A35" s="34">
        <v>12</v>
      </c>
      <c r="B35" s="34">
        <v>34</v>
      </c>
      <c r="C35" s="34" t="s">
        <v>93</v>
      </c>
      <c r="D35" s="34" t="s">
        <v>61</v>
      </c>
      <c r="E35" s="16" t="s">
        <v>8</v>
      </c>
      <c r="F35" s="35">
        <v>30764</v>
      </c>
      <c r="G35" s="35">
        <v>30765.3</v>
      </c>
      <c r="H35" s="36">
        <v>1.3</v>
      </c>
      <c r="I35" s="37"/>
      <c r="J35" s="38"/>
      <c r="K35" s="19"/>
      <c r="L35" s="19"/>
      <c r="M35" s="25">
        <v>0.57499999999999996</v>
      </c>
      <c r="N35" s="19">
        <f t="shared" si="19"/>
        <v>0.74749999999999994</v>
      </c>
      <c r="O35" s="19" t="str">
        <f>IF(AND(E35="Trip",A37&lt;&gt;A35),SUM(N34:N36),"")</f>
        <v/>
      </c>
      <c r="P35" s="20" t="str">
        <f t="shared" si="22"/>
        <v/>
      </c>
      <c r="Q35" s="21" t="str">
        <f t="shared" si="23"/>
        <v/>
      </c>
      <c r="R35" s="22" t="str">
        <f t="shared" si="16"/>
        <v/>
      </c>
      <c r="S35" s="19"/>
      <c r="T35" s="16"/>
      <c r="U35" s="38" t="str">
        <f t="shared" si="21"/>
        <v/>
      </c>
      <c r="V35" s="16"/>
      <c r="W35" s="16"/>
    </row>
    <row r="36" spans="1:23" s="34" customFormat="1" x14ac:dyDescent="0.25">
      <c r="A36" s="34">
        <v>12</v>
      </c>
      <c r="B36" s="34">
        <v>35</v>
      </c>
      <c r="C36" s="34" t="s">
        <v>61</v>
      </c>
      <c r="D36" s="34" t="s">
        <v>5</v>
      </c>
      <c r="E36" s="16" t="s">
        <v>0</v>
      </c>
      <c r="F36" s="35">
        <v>30765.3</v>
      </c>
      <c r="G36" s="35">
        <v>30766.53</v>
      </c>
      <c r="H36" s="36">
        <v>1.23</v>
      </c>
      <c r="I36" s="37">
        <v>3.6805555555555554E-3</v>
      </c>
      <c r="J36" s="38">
        <v>6.12</v>
      </c>
      <c r="K36" s="19">
        <v>1.7</v>
      </c>
      <c r="L36" s="19">
        <f t="shared" ref="L36" si="24">0.25*(J36-K36)</f>
        <v>1.105</v>
      </c>
      <c r="M36" s="25">
        <v>0.57499999999999996</v>
      </c>
      <c r="N36" s="19">
        <f t="shared" si="19"/>
        <v>0.70724999999999993</v>
      </c>
      <c r="O36" s="19">
        <f>IF(AND(E36="Trip",A38&lt;&gt;A36),SUM(N35:N37)+L36+K36,"")</f>
        <v>4.8347499999999997</v>
      </c>
      <c r="P36" s="20">
        <f t="shared" si="22"/>
        <v>1.2852500000000004</v>
      </c>
      <c r="Q36" s="21">
        <f t="shared" si="23"/>
        <v>0.21000816993464058</v>
      </c>
      <c r="R36" s="22">
        <f t="shared" si="16"/>
        <v>0.21000816993464058</v>
      </c>
      <c r="S36" s="19"/>
      <c r="T36" s="40">
        <v>1.0416666666666666E-2</v>
      </c>
      <c r="U36" s="38">
        <f t="shared" si="21"/>
        <v>5.1410000000000018</v>
      </c>
      <c r="V36" s="16"/>
      <c r="W36" s="16"/>
    </row>
    <row r="37" spans="1:23" s="34" customFormat="1" x14ac:dyDescent="0.25">
      <c r="A37" s="34">
        <v>12</v>
      </c>
      <c r="B37" s="34">
        <v>36</v>
      </c>
      <c r="C37" s="34" t="s">
        <v>5</v>
      </c>
      <c r="D37" s="34" t="s">
        <v>93</v>
      </c>
      <c r="E37" s="16" t="s">
        <v>9</v>
      </c>
      <c r="F37" s="35">
        <v>30802.91</v>
      </c>
      <c r="G37" s="35">
        <v>30803.91</v>
      </c>
      <c r="H37" s="36">
        <v>1</v>
      </c>
      <c r="I37" s="37"/>
      <c r="J37" s="38"/>
      <c r="K37" s="19"/>
      <c r="L37" s="19"/>
      <c r="M37" s="25">
        <v>0.57499999999999996</v>
      </c>
      <c r="N37" s="19">
        <f t="shared" si="19"/>
        <v>0.57499999999999996</v>
      </c>
      <c r="O37" s="19" t="str">
        <f>IF(AND(E37="Trip",A39&lt;&gt;A37),SUM(N36:N38),"")</f>
        <v/>
      </c>
      <c r="P37" s="20" t="str">
        <f t="shared" si="22"/>
        <v/>
      </c>
      <c r="Q37" s="21" t="str">
        <f t="shared" si="23"/>
        <v/>
      </c>
      <c r="R37" s="22" t="str">
        <f t="shared" si="16"/>
        <v/>
      </c>
      <c r="S37" s="19"/>
      <c r="T37" s="16"/>
      <c r="U37" s="16"/>
      <c r="V37" s="16"/>
      <c r="W37" s="16"/>
    </row>
    <row r="38" spans="1:23" x14ac:dyDescent="0.25">
      <c r="A38">
        <v>13</v>
      </c>
      <c r="B38">
        <v>37</v>
      </c>
      <c r="C38" t="s">
        <v>93</v>
      </c>
      <c r="D38" t="s">
        <v>34</v>
      </c>
      <c r="E38" t="s">
        <v>8</v>
      </c>
      <c r="F38" s="15">
        <v>30803.91</v>
      </c>
      <c r="G38" s="15">
        <v>30804.16</v>
      </c>
      <c r="H38" s="5">
        <v>0.25</v>
      </c>
      <c r="M38" s="24">
        <v>0.57499999999999996</v>
      </c>
      <c r="N38" s="1">
        <f t="shared" si="19"/>
        <v>0.14374999999999999</v>
      </c>
      <c r="P38" s="7" t="str">
        <f t="shared" si="22"/>
        <v/>
      </c>
      <c r="Q38" s="6" t="str">
        <f t="shared" si="23"/>
        <v/>
      </c>
      <c r="R38" s="12" t="str">
        <f t="shared" si="16"/>
        <v/>
      </c>
    </row>
    <row r="39" spans="1:23" x14ac:dyDescent="0.25">
      <c r="A39">
        <v>13</v>
      </c>
      <c r="B39">
        <v>38</v>
      </c>
      <c r="C39" t="s">
        <v>34</v>
      </c>
      <c r="D39" t="s">
        <v>61</v>
      </c>
      <c r="E39" t="s">
        <v>0</v>
      </c>
      <c r="F39" s="15">
        <v>30804.16</v>
      </c>
      <c r="G39" s="15">
        <v>30806.1</v>
      </c>
      <c r="H39" s="5">
        <v>1.94</v>
      </c>
      <c r="I39" s="32">
        <v>4.9189814814814816E-3</v>
      </c>
      <c r="J39" s="1">
        <v>7.26</v>
      </c>
      <c r="K39" s="1">
        <v>1.7</v>
      </c>
      <c r="L39" s="1">
        <f t="shared" ref="L39" si="25">0.25*(J39-K39)</f>
        <v>1.39</v>
      </c>
      <c r="M39" s="24">
        <v>0.57499999999999996</v>
      </c>
      <c r="N39" s="1">
        <f t="shared" si="19"/>
        <v>1.1154999999999999</v>
      </c>
      <c r="O39" s="1">
        <f>IF(AND(E39="Trip",A41&lt;&gt;A39),SUM(N38:N40)+K39+L39,"")</f>
        <v>5.4417499999999999</v>
      </c>
      <c r="P39" s="7">
        <f t="shared" si="22"/>
        <v>1.8182499999999999</v>
      </c>
      <c r="Q39" s="6">
        <f t="shared" si="23"/>
        <v>0.25044765840220384</v>
      </c>
      <c r="R39" s="12">
        <f t="shared" si="16"/>
        <v>0.25044765840220384</v>
      </c>
      <c r="T39" s="39">
        <v>1.3888888888888888E-2</v>
      </c>
      <c r="U39" s="1">
        <f t="shared" ref="U39:U42" si="26">IF(T39="","",P39/(T39*24))</f>
        <v>5.4547499999999998</v>
      </c>
    </row>
    <row r="40" spans="1:23" s="29" customFormat="1" x14ac:dyDescent="0.25">
      <c r="A40" s="29">
        <v>13</v>
      </c>
      <c r="B40" s="29">
        <v>39</v>
      </c>
      <c r="C40" s="29" t="s">
        <v>61</v>
      </c>
      <c r="D40" s="29" t="s">
        <v>93</v>
      </c>
      <c r="E40" s="29" t="s">
        <v>9</v>
      </c>
      <c r="F40" s="46">
        <v>30806.1</v>
      </c>
      <c r="G40" s="46">
        <v>30808</v>
      </c>
      <c r="H40" s="47">
        <v>1.9</v>
      </c>
      <c r="I40" s="48"/>
      <c r="J40" s="42"/>
      <c r="K40" s="42"/>
      <c r="L40" s="42"/>
      <c r="M40" s="49">
        <v>0.57499999999999996</v>
      </c>
      <c r="N40" s="42">
        <f t="shared" si="19"/>
        <v>1.0924999999999998</v>
      </c>
      <c r="O40" s="42" t="str">
        <f>IF(AND(E40="Trip",A42&lt;&gt;A40),SUM(N39:N41),"")</f>
        <v/>
      </c>
      <c r="P40" s="50" t="str">
        <f t="shared" si="22"/>
        <v/>
      </c>
      <c r="Q40" s="51" t="str">
        <f t="shared" si="23"/>
        <v/>
      </c>
      <c r="R40" s="52" t="str">
        <f t="shared" si="16"/>
        <v/>
      </c>
      <c r="S40" s="42"/>
      <c r="U40" s="42" t="str">
        <f t="shared" si="26"/>
        <v/>
      </c>
    </row>
    <row r="41" spans="1:23" s="34" customFormat="1" x14ac:dyDescent="0.25">
      <c r="A41" s="34">
        <v>14</v>
      </c>
      <c r="B41" s="34">
        <v>40</v>
      </c>
      <c r="C41" s="34" t="s">
        <v>93</v>
      </c>
      <c r="D41" s="34" t="s">
        <v>68</v>
      </c>
      <c r="E41" s="16" t="s">
        <v>8</v>
      </c>
      <c r="F41" s="35">
        <v>30808</v>
      </c>
      <c r="G41" s="35">
        <v>30809.200000000001</v>
      </c>
      <c r="H41" s="36">
        <v>1.2</v>
      </c>
      <c r="I41" s="37"/>
      <c r="J41" s="38"/>
      <c r="K41" s="19"/>
      <c r="L41" s="19"/>
      <c r="M41" s="25">
        <v>0.57499999999999996</v>
      </c>
      <c r="N41" s="19">
        <f t="shared" ref="N41:N52" si="27">M41*H41</f>
        <v>0.69</v>
      </c>
      <c r="O41" s="19" t="str">
        <f>IF(AND(E41="Trip",A43&lt;&gt;A41),SUM(N40:N42),"")</f>
        <v/>
      </c>
      <c r="P41" s="20" t="str">
        <f t="shared" si="22"/>
        <v/>
      </c>
      <c r="Q41" s="21" t="str">
        <f t="shared" si="23"/>
        <v/>
      </c>
      <c r="R41" s="22" t="str">
        <f t="shared" ref="R41:R52" si="28">Q41</f>
        <v/>
      </c>
      <c r="S41" s="19"/>
      <c r="T41" s="16"/>
      <c r="U41" s="38" t="str">
        <f t="shared" si="26"/>
        <v/>
      </c>
      <c r="V41" s="16"/>
      <c r="W41" s="16"/>
    </row>
    <row r="42" spans="1:23" s="34" customFormat="1" x14ac:dyDescent="0.25">
      <c r="A42" s="34">
        <v>14</v>
      </c>
      <c r="B42" s="34">
        <v>41</v>
      </c>
      <c r="C42" s="34" t="s">
        <v>68</v>
      </c>
      <c r="D42" s="34" t="s">
        <v>67</v>
      </c>
      <c r="E42" s="16" t="s">
        <v>0</v>
      </c>
      <c r="F42" s="35">
        <v>30809.200000000001</v>
      </c>
      <c r="G42" s="35">
        <v>30812.63</v>
      </c>
      <c r="H42" s="36">
        <v>3.43</v>
      </c>
      <c r="I42" s="37">
        <v>9.4097222222222238E-3</v>
      </c>
      <c r="J42" s="38">
        <v>10.68</v>
      </c>
      <c r="K42" s="19">
        <v>1.7</v>
      </c>
      <c r="L42" s="19">
        <f t="shared" ref="L42" si="29">0.25*(J42-K42)</f>
        <v>2.2450000000000001</v>
      </c>
      <c r="M42" s="25">
        <v>0.57499999999999996</v>
      </c>
      <c r="N42" s="19">
        <f t="shared" si="27"/>
        <v>1.9722499999999998</v>
      </c>
      <c r="O42" s="19">
        <f>IF(AND(E42="Trip",A44&lt;&gt;A42),SUM(N41:N43)+L42+K42,"")</f>
        <v>6.7510000000000003</v>
      </c>
      <c r="P42" s="20">
        <f t="shared" si="22"/>
        <v>3.9289999999999994</v>
      </c>
      <c r="Q42" s="21">
        <f t="shared" si="23"/>
        <v>0.3678838951310861</v>
      </c>
      <c r="R42" s="22">
        <f t="shared" si="28"/>
        <v>0.3678838951310861</v>
      </c>
      <c r="S42" s="19"/>
      <c r="T42" s="40">
        <v>2.4305555555555556E-2</v>
      </c>
      <c r="U42" s="38">
        <f t="shared" si="26"/>
        <v>6.73542857142857</v>
      </c>
      <c r="V42" s="16"/>
      <c r="W42" s="16"/>
    </row>
    <row r="43" spans="1:23" s="34" customFormat="1" x14ac:dyDescent="0.25">
      <c r="A43" s="34">
        <v>14</v>
      </c>
      <c r="B43" s="34">
        <v>42</v>
      </c>
      <c r="C43" s="34" t="s">
        <v>66</v>
      </c>
      <c r="D43" s="34" t="s">
        <v>93</v>
      </c>
      <c r="E43" s="16" t="s">
        <v>9</v>
      </c>
      <c r="F43" s="35">
        <v>30812.63</v>
      </c>
      <c r="G43" s="35">
        <v>30812.880000000001</v>
      </c>
      <c r="H43" s="36">
        <v>0.25</v>
      </c>
      <c r="I43" s="37"/>
      <c r="J43" s="38"/>
      <c r="K43" s="19"/>
      <c r="L43" s="19"/>
      <c r="M43" s="25">
        <v>0.57499999999999996</v>
      </c>
      <c r="N43" s="19">
        <f t="shared" si="27"/>
        <v>0.14374999999999999</v>
      </c>
      <c r="O43" s="19" t="str">
        <f>IF(AND(E43="Trip",A45&lt;&gt;A43),SUM(N42:N44),"")</f>
        <v/>
      </c>
      <c r="P43" s="20" t="str">
        <f t="shared" si="22"/>
        <v/>
      </c>
      <c r="Q43" s="21" t="str">
        <f t="shared" si="23"/>
        <v/>
      </c>
      <c r="R43" s="22" t="str">
        <f t="shared" si="28"/>
        <v/>
      </c>
      <c r="S43" s="19"/>
      <c r="T43" s="16"/>
      <c r="U43" s="16"/>
      <c r="V43" s="16"/>
      <c r="W43" s="16"/>
    </row>
    <row r="44" spans="1:23" x14ac:dyDescent="0.25">
      <c r="A44">
        <v>15</v>
      </c>
      <c r="B44">
        <v>43</v>
      </c>
      <c r="C44" s="29" t="s">
        <v>93</v>
      </c>
      <c r="D44" s="29" t="s">
        <v>68</v>
      </c>
      <c r="E44" t="s">
        <v>8</v>
      </c>
      <c r="F44" s="15">
        <v>30812.880000000001</v>
      </c>
      <c r="G44" s="15">
        <v>30814.18</v>
      </c>
      <c r="H44" s="5">
        <v>1.3</v>
      </c>
      <c r="M44" s="24">
        <v>0.57499999999999996</v>
      </c>
      <c r="N44" s="1">
        <f t="shared" si="27"/>
        <v>0.74749999999999994</v>
      </c>
      <c r="P44" s="7" t="str">
        <f t="shared" si="22"/>
        <v/>
      </c>
      <c r="Q44" s="6" t="str">
        <f t="shared" si="23"/>
        <v/>
      </c>
      <c r="R44" s="12" t="str">
        <f t="shared" si="28"/>
        <v/>
      </c>
    </row>
    <row r="45" spans="1:23" x14ac:dyDescent="0.25">
      <c r="A45">
        <v>15</v>
      </c>
      <c r="B45">
        <v>44</v>
      </c>
      <c r="C45" s="29" t="s">
        <v>61</v>
      </c>
      <c r="D45" s="29" t="s">
        <v>66</v>
      </c>
      <c r="E45" t="s">
        <v>0</v>
      </c>
      <c r="F45" s="15">
        <v>30814.18</v>
      </c>
      <c r="G45" s="15">
        <v>30815.31</v>
      </c>
      <c r="H45" s="5">
        <v>1.1299999999999999</v>
      </c>
      <c r="I45" s="32">
        <v>2.7083333333333334E-3</v>
      </c>
      <c r="J45" s="1">
        <v>5.72</v>
      </c>
      <c r="K45" s="1">
        <v>1.7</v>
      </c>
      <c r="L45" s="1">
        <f t="shared" ref="L45" si="30">0.25*(J45-K45)</f>
        <v>1.0049999999999999</v>
      </c>
      <c r="M45" s="24">
        <v>0.57499999999999996</v>
      </c>
      <c r="N45" s="1">
        <f t="shared" si="27"/>
        <v>0.64974999999999994</v>
      </c>
      <c r="O45" s="1">
        <f>IF(AND(E45="Trip",A47&lt;&gt;A45),SUM(N44:N46)+K45+L45,"")</f>
        <v>4.73475</v>
      </c>
      <c r="P45" s="7">
        <f t="shared" si="22"/>
        <v>0.98524999999999974</v>
      </c>
      <c r="Q45" s="6">
        <f t="shared" si="23"/>
        <v>0.17224650349650344</v>
      </c>
      <c r="R45" s="12">
        <f t="shared" si="28"/>
        <v>0.17224650349650344</v>
      </c>
      <c r="T45" s="39">
        <v>1.3888888888888888E-2</v>
      </c>
      <c r="U45" s="1">
        <f t="shared" ref="U45:U48" si="31">IF(T45="","",P45/(T45*24))</f>
        <v>2.9557499999999992</v>
      </c>
    </row>
    <row r="46" spans="1:23" s="29" customFormat="1" x14ac:dyDescent="0.25">
      <c r="A46" s="29">
        <v>15</v>
      </c>
      <c r="B46" s="29">
        <v>45</v>
      </c>
      <c r="C46" s="29" t="s">
        <v>66</v>
      </c>
      <c r="D46" s="29" t="s">
        <v>93</v>
      </c>
      <c r="E46" s="29" t="s">
        <v>9</v>
      </c>
      <c r="F46" s="46">
        <v>30815.31</v>
      </c>
      <c r="G46" s="46">
        <v>30816.41</v>
      </c>
      <c r="H46" s="47">
        <v>1.1000000000000001</v>
      </c>
      <c r="I46" s="48"/>
      <c r="J46" s="42"/>
      <c r="K46" s="42"/>
      <c r="L46" s="42"/>
      <c r="M46" s="49">
        <v>0.57499999999999996</v>
      </c>
      <c r="N46" s="42">
        <f t="shared" si="27"/>
        <v>0.63249999999999995</v>
      </c>
      <c r="O46" s="42" t="str">
        <f>IF(AND(E46="Trip",A48&lt;&gt;A46),SUM(N45:N47),"")</f>
        <v/>
      </c>
      <c r="P46" s="50" t="str">
        <f t="shared" si="22"/>
        <v/>
      </c>
      <c r="Q46" s="51" t="str">
        <f t="shared" si="23"/>
        <v/>
      </c>
      <c r="R46" s="52" t="str">
        <f t="shared" si="28"/>
        <v/>
      </c>
      <c r="S46" s="42"/>
      <c r="U46" s="42" t="str">
        <f t="shared" si="31"/>
        <v/>
      </c>
    </row>
    <row r="47" spans="1:23" s="34" customFormat="1" x14ac:dyDescent="0.25">
      <c r="A47" s="34">
        <v>16</v>
      </c>
      <c r="B47" s="34">
        <v>46</v>
      </c>
      <c r="C47" s="34" t="s">
        <v>93</v>
      </c>
      <c r="D47" s="34" t="s">
        <v>65</v>
      </c>
      <c r="E47" s="16" t="s">
        <v>8</v>
      </c>
      <c r="F47" s="35">
        <v>30816.41</v>
      </c>
      <c r="G47" s="35">
        <v>30819.91</v>
      </c>
      <c r="H47" s="36">
        <v>3.5</v>
      </c>
      <c r="I47" s="37"/>
      <c r="J47" s="38"/>
      <c r="K47" s="19"/>
      <c r="L47" s="19"/>
      <c r="M47" s="25">
        <v>0.57499999999999996</v>
      </c>
      <c r="N47" s="19">
        <f t="shared" si="27"/>
        <v>2.0124999999999997</v>
      </c>
      <c r="O47" s="19" t="str">
        <f>IF(AND(E47="Trip",A49&lt;&gt;A47),SUM(N46:N48),"")</f>
        <v/>
      </c>
      <c r="P47" s="20" t="str">
        <f t="shared" si="22"/>
        <v/>
      </c>
      <c r="Q47" s="21" t="str">
        <f t="shared" si="23"/>
        <v/>
      </c>
      <c r="R47" s="22" t="str">
        <f t="shared" si="28"/>
        <v/>
      </c>
      <c r="S47" s="19"/>
      <c r="T47" s="16"/>
      <c r="U47" s="38" t="str">
        <f t="shared" si="31"/>
        <v/>
      </c>
      <c r="V47" s="16"/>
      <c r="W47" s="16"/>
    </row>
    <row r="48" spans="1:23" s="34" customFormat="1" x14ac:dyDescent="0.25">
      <c r="A48" s="34">
        <v>16</v>
      </c>
      <c r="B48" s="34">
        <v>47</v>
      </c>
      <c r="C48" s="34" t="s">
        <v>65</v>
      </c>
      <c r="D48" s="34" t="s">
        <v>35</v>
      </c>
      <c r="E48" s="16" t="s">
        <v>0</v>
      </c>
      <c r="F48" s="35">
        <v>30819.91</v>
      </c>
      <c r="G48" s="35">
        <v>30820.85</v>
      </c>
      <c r="H48" s="36">
        <v>0.94</v>
      </c>
      <c r="I48" s="37">
        <v>1.8981481481481482E-3</v>
      </c>
      <c r="J48" s="38">
        <v>5.28</v>
      </c>
      <c r="K48" s="19">
        <v>1.7</v>
      </c>
      <c r="L48" s="19">
        <f t="shared" ref="L48" si="32">0.25*(J48-K48)</f>
        <v>0.89500000000000002</v>
      </c>
      <c r="M48" s="25">
        <v>0.57499999999999996</v>
      </c>
      <c r="N48" s="19">
        <f t="shared" si="27"/>
        <v>0.54049999999999998</v>
      </c>
      <c r="O48" s="19">
        <f>IF(AND(E48="Trip",A50&lt;&gt;A48),SUM(N47:N49)+L48+K48,"")</f>
        <v>7.3905000000000003</v>
      </c>
      <c r="P48" s="20">
        <f t="shared" si="22"/>
        <v>-2.1105</v>
      </c>
      <c r="Q48" s="21">
        <f t="shared" si="23"/>
        <v>-0.39971590909090909</v>
      </c>
      <c r="R48" s="22">
        <f t="shared" si="28"/>
        <v>-0.39971590909090909</v>
      </c>
      <c r="S48" s="19"/>
      <c r="T48" s="40">
        <v>1.7361111111111112E-2</v>
      </c>
      <c r="U48" s="38">
        <f t="shared" si="31"/>
        <v>-5.0651999999999999</v>
      </c>
      <c r="V48" s="16"/>
      <c r="W48" s="16"/>
    </row>
    <row r="49" spans="1:23" s="34" customFormat="1" x14ac:dyDescent="0.25">
      <c r="A49" s="34">
        <v>16</v>
      </c>
      <c r="B49" s="34">
        <v>48</v>
      </c>
      <c r="C49" s="34" t="s">
        <v>35</v>
      </c>
      <c r="D49" s="34" t="s">
        <v>37</v>
      </c>
      <c r="E49" s="16" t="s">
        <v>9</v>
      </c>
      <c r="F49" s="35">
        <v>30820.85</v>
      </c>
      <c r="G49" s="35">
        <v>30824.75</v>
      </c>
      <c r="H49" s="36">
        <v>3.9</v>
      </c>
      <c r="I49" s="37"/>
      <c r="J49" s="38"/>
      <c r="K49" s="19"/>
      <c r="L49" s="19"/>
      <c r="M49" s="25">
        <v>0.57499999999999996</v>
      </c>
      <c r="N49" s="19">
        <f t="shared" si="27"/>
        <v>2.2424999999999997</v>
      </c>
      <c r="O49" s="19" t="str">
        <f>IF(AND(E49="Trip",A51&lt;&gt;A49),SUM(N48:N50),"")</f>
        <v/>
      </c>
      <c r="P49" s="20" t="str">
        <f t="shared" si="22"/>
        <v/>
      </c>
      <c r="Q49" s="21" t="str">
        <f t="shared" si="23"/>
        <v/>
      </c>
      <c r="R49" s="22" t="str">
        <f t="shared" si="28"/>
        <v/>
      </c>
      <c r="S49" s="19"/>
      <c r="T49" s="16"/>
      <c r="U49" s="16"/>
      <c r="V49" s="16"/>
      <c r="W49" s="16"/>
    </row>
    <row r="50" spans="1:23" x14ac:dyDescent="0.25">
      <c r="A50">
        <v>17</v>
      </c>
      <c r="B50">
        <v>49</v>
      </c>
      <c r="C50" s="29" t="s">
        <v>37</v>
      </c>
      <c r="D50" s="29" t="s">
        <v>64</v>
      </c>
      <c r="E50" t="s">
        <v>8</v>
      </c>
      <c r="F50" s="15">
        <v>30824.75</v>
      </c>
      <c r="G50" s="15">
        <v>30826.65</v>
      </c>
      <c r="H50" s="5">
        <v>1.9</v>
      </c>
      <c r="M50" s="24">
        <v>0.57499999999999996</v>
      </c>
      <c r="N50" s="1">
        <f t="shared" si="27"/>
        <v>1.0924999999999998</v>
      </c>
      <c r="P50" s="7" t="str">
        <f t="shared" si="22"/>
        <v/>
      </c>
      <c r="Q50" s="6" t="str">
        <f t="shared" si="23"/>
        <v/>
      </c>
      <c r="R50" s="12" t="str">
        <f t="shared" si="28"/>
        <v/>
      </c>
    </row>
    <row r="51" spans="1:23" x14ac:dyDescent="0.25">
      <c r="A51">
        <v>17</v>
      </c>
      <c r="B51">
        <v>50</v>
      </c>
      <c r="C51" s="29" t="s">
        <v>64</v>
      </c>
      <c r="D51" s="29" t="s">
        <v>5</v>
      </c>
      <c r="E51" t="s">
        <v>0</v>
      </c>
      <c r="F51" s="15">
        <v>30826.65</v>
      </c>
      <c r="G51" s="15">
        <v>30827.93</v>
      </c>
      <c r="H51" s="5">
        <v>1.28</v>
      </c>
      <c r="I51" s="32">
        <v>3.2986111111111111E-3</v>
      </c>
      <c r="J51" s="1">
        <v>6.06</v>
      </c>
      <c r="K51" s="1">
        <v>1.7</v>
      </c>
      <c r="L51" s="1">
        <f t="shared" ref="L51" si="33">0.25*(J51-K51)</f>
        <v>1.0899999999999999</v>
      </c>
      <c r="M51" s="24">
        <v>0.57499999999999996</v>
      </c>
      <c r="N51" s="1">
        <f t="shared" si="27"/>
        <v>0.73599999999999999</v>
      </c>
      <c r="O51" s="1">
        <f>IF(AND(E51="Trip",A53&lt;&gt;A51),SUM(N50:N52)+K51+L51,"")</f>
        <v>6.1134999999999993</v>
      </c>
      <c r="P51" s="7">
        <f t="shared" si="22"/>
        <v>-5.3499999999999659E-2</v>
      </c>
      <c r="Q51" s="6">
        <f t="shared" si="23"/>
        <v>-8.8283828382837732E-3</v>
      </c>
      <c r="R51" s="12">
        <f t="shared" si="28"/>
        <v>-8.8283828382837732E-3</v>
      </c>
      <c r="S51" s="1">
        <v>5</v>
      </c>
      <c r="T51" s="39">
        <v>1.3888888888888888E-2</v>
      </c>
      <c r="U51" s="1">
        <f t="shared" ref="U51:U54" si="34">IF(T51="","",P51/(T51*24))</f>
        <v>-0.16049999999999898</v>
      </c>
    </row>
    <row r="52" spans="1:23" s="29" customFormat="1" x14ac:dyDescent="0.25">
      <c r="A52" s="29">
        <v>17</v>
      </c>
      <c r="B52" s="29">
        <v>51</v>
      </c>
      <c r="C52" s="29" t="s">
        <v>5</v>
      </c>
      <c r="D52" s="29" t="s">
        <v>93</v>
      </c>
      <c r="E52" s="29" t="s">
        <v>9</v>
      </c>
      <c r="F52" s="46">
        <v>30827.93</v>
      </c>
      <c r="G52" s="46">
        <v>30830.53</v>
      </c>
      <c r="H52" s="47">
        <v>2.6</v>
      </c>
      <c r="I52" s="48"/>
      <c r="J52" s="42"/>
      <c r="K52" s="42"/>
      <c r="L52" s="42"/>
      <c r="M52" s="49">
        <v>0.57499999999999996</v>
      </c>
      <c r="N52" s="42">
        <f t="shared" si="27"/>
        <v>1.4949999999999999</v>
      </c>
      <c r="O52" s="42" t="str">
        <f>IF(AND(E52="Trip",A57&lt;&gt;A52),SUM(N51:N53),"")</f>
        <v/>
      </c>
      <c r="P52" s="50" t="str">
        <f t="shared" si="22"/>
        <v/>
      </c>
      <c r="Q52" s="51" t="str">
        <f t="shared" si="23"/>
        <v/>
      </c>
      <c r="R52" s="52" t="str">
        <f t="shared" si="28"/>
        <v/>
      </c>
      <c r="S52" s="42"/>
      <c r="U52" s="42" t="str">
        <f t="shared" si="34"/>
        <v/>
      </c>
    </row>
    <row r="53" spans="1:23" s="34" customFormat="1" x14ac:dyDescent="0.25">
      <c r="A53" s="34">
        <v>18</v>
      </c>
      <c r="B53" s="34">
        <v>52</v>
      </c>
      <c r="C53" s="34" t="s">
        <v>93</v>
      </c>
      <c r="D53" s="34" t="s">
        <v>89</v>
      </c>
      <c r="E53" s="16" t="s">
        <v>8</v>
      </c>
      <c r="F53" s="35">
        <v>30834.53</v>
      </c>
      <c r="G53" s="35">
        <v>30836.335333333333</v>
      </c>
      <c r="H53" s="36">
        <v>1.8053333333333299</v>
      </c>
      <c r="I53" s="37"/>
      <c r="J53" s="38"/>
      <c r="K53" s="19"/>
      <c r="L53" s="19"/>
      <c r="M53" s="25">
        <v>0.57499999999999996</v>
      </c>
      <c r="N53" s="19">
        <f t="shared" ref="N53:N55" si="35">M53*H53</f>
        <v>1.0380666666666647</v>
      </c>
      <c r="O53" s="19" t="str">
        <f>IF(AND(E53="Trip",A55&lt;&gt;A53),SUM(N52:N54),"")</f>
        <v/>
      </c>
      <c r="P53" s="20" t="str">
        <f t="shared" si="22"/>
        <v/>
      </c>
      <c r="Q53" s="21" t="str">
        <f t="shared" si="23"/>
        <v/>
      </c>
      <c r="R53" s="22" t="str">
        <f t="shared" ref="R53:R55" si="36">Q53</f>
        <v/>
      </c>
      <c r="S53" s="19"/>
      <c r="T53" s="16"/>
      <c r="U53" s="38" t="str">
        <f t="shared" si="34"/>
        <v/>
      </c>
      <c r="V53" s="16"/>
      <c r="W53" s="16"/>
    </row>
    <row r="54" spans="1:23" s="34" customFormat="1" x14ac:dyDescent="0.25">
      <c r="A54" s="34">
        <v>18</v>
      </c>
      <c r="B54" s="34">
        <v>53</v>
      </c>
      <c r="C54" s="34" t="s">
        <v>89</v>
      </c>
      <c r="D54" s="34" t="s">
        <v>90</v>
      </c>
      <c r="E54" s="16" t="s">
        <v>0</v>
      </c>
      <c r="F54" s="35">
        <v>30836.335333333333</v>
      </c>
      <c r="G54" s="35">
        <v>30866.645333333334</v>
      </c>
      <c r="H54" s="36">
        <v>30.31</v>
      </c>
      <c r="I54" s="37">
        <v>3.6481481481481483E-2</v>
      </c>
      <c r="J54" s="38">
        <v>47.55</v>
      </c>
      <c r="K54" s="19">
        <v>1.7</v>
      </c>
      <c r="L54" s="19">
        <f t="shared" ref="L54" si="37">0.25*(J54-K54)</f>
        <v>11.462499999999999</v>
      </c>
      <c r="M54" s="25">
        <v>0.57499999999999996</v>
      </c>
      <c r="N54" s="19">
        <f t="shared" si="35"/>
        <v>17.428249999999998</v>
      </c>
      <c r="O54" s="19">
        <f>IF(AND(E54="Trip",A56&lt;&gt;A54),SUM(N53:N55)+L54+K54,"")</f>
        <v>48.878816666666665</v>
      </c>
      <c r="P54" s="20">
        <f t="shared" si="22"/>
        <v>-1.3288166666666683</v>
      </c>
      <c r="Q54" s="21">
        <f t="shared" si="23"/>
        <v>-2.7945671223273783E-2</v>
      </c>
      <c r="R54" s="22">
        <f t="shared" si="36"/>
        <v>-2.7945671223273783E-2</v>
      </c>
      <c r="S54" s="19"/>
      <c r="T54" s="40">
        <v>8.3333333333333329E-2</v>
      </c>
      <c r="U54" s="38">
        <f t="shared" si="34"/>
        <v>-0.66440833333333416</v>
      </c>
      <c r="V54" s="16"/>
      <c r="W54" s="16"/>
    </row>
    <row r="55" spans="1:23" s="34" customFormat="1" x14ac:dyDescent="0.25">
      <c r="A55" s="34">
        <v>18</v>
      </c>
      <c r="B55" s="34">
        <v>54</v>
      </c>
      <c r="C55" s="34" t="s">
        <v>90</v>
      </c>
      <c r="D55" s="34" t="s">
        <v>93</v>
      </c>
      <c r="E55" s="16" t="s">
        <v>9</v>
      </c>
      <c r="F55" s="35">
        <v>30866.645333333334</v>
      </c>
      <c r="G55" s="35">
        <v>30896.645333333334</v>
      </c>
      <c r="H55" s="36">
        <v>30</v>
      </c>
      <c r="I55" s="37"/>
      <c r="J55" s="38"/>
      <c r="K55" s="19"/>
      <c r="L55" s="19"/>
      <c r="M55" s="25">
        <v>0.57499999999999996</v>
      </c>
      <c r="N55" s="19">
        <f t="shared" si="35"/>
        <v>17.25</v>
      </c>
      <c r="O55" s="19" t="str">
        <f>IF(AND(E55="Trip",A57&lt;&gt;A55),SUM(N54:N56),"")</f>
        <v/>
      </c>
      <c r="P55" s="20" t="str">
        <f t="shared" si="22"/>
        <v/>
      </c>
      <c r="Q55" s="21" t="str">
        <f t="shared" si="23"/>
        <v/>
      </c>
      <c r="R55" s="22" t="str">
        <f t="shared" si="36"/>
        <v/>
      </c>
      <c r="S55" s="19"/>
      <c r="T55" s="16"/>
      <c r="U55" s="16"/>
      <c r="V55" s="16"/>
      <c r="W55" s="16"/>
    </row>
    <row r="56" spans="1:23" s="29" customFormat="1" x14ac:dyDescent="0.25">
      <c r="F56" s="46"/>
      <c r="G56" s="46"/>
      <c r="H56" s="47"/>
      <c r="I56" s="48"/>
      <c r="J56" s="42"/>
      <c r="K56" s="42"/>
      <c r="L56" s="42"/>
      <c r="M56" s="49"/>
      <c r="N56" s="42"/>
      <c r="O56" s="42"/>
      <c r="P56" s="50"/>
      <c r="Q56" s="51"/>
      <c r="R56" s="52"/>
      <c r="S56" s="42"/>
      <c r="U56" s="42"/>
    </row>
    <row r="57" spans="1:23" s="64" customFormat="1" x14ac:dyDescent="0.25">
      <c r="F57" s="65"/>
      <c r="G57" s="65"/>
      <c r="H57" s="66"/>
      <c r="I57" s="67"/>
      <c r="J57" s="68"/>
      <c r="K57" s="68"/>
      <c r="L57" s="68"/>
      <c r="M57" s="69"/>
      <c r="N57" s="68"/>
      <c r="O57" s="68"/>
      <c r="P57" s="70"/>
      <c r="Q57" s="71"/>
      <c r="R57" s="72"/>
      <c r="S57" s="68"/>
      <c r="U57" s="68"/>
    </row>
    <row r="58" spans="1:23" s="53" customFormat="1" x14ac:dyDescent="0.25">
      <c r="A58" s="63" t="s">
        <v>70</v>
      </c>
      <c r="F58" s="54"/>
      <c r="G58" s="54"/>
      <c r="H58" s="55"/>
      <c r="I58" s="56"/>
      <c r="J58" s="57"/>
      <c r="K58" s="57"/>
      <c r="L58" s="57"/>
      <c r="M58" s="58"/>
      <c r="N58" s="57"/>
      <c r="O58" s="57"/>
      <c r="P58" s="59"/>
      <c r="Q58" s="60"/>
      <c r="R58" s="61"/>
      <c r="S58" s="57"/>
      <c r="U58" s="57"/>
    </row>
    <row r="59" spans="1:23" s="29" customFormat="1" x14ac:dyDescent="0.25">
      <c r="F59" s="46"/>
      <c r="G59" s="46"/>
      <c r="H59" s="47"/>
      <c r="I59" s="48"/>
      <c r="J59" s="42"/>
      <c r="K59" s="42"/>
      <c r="L59" s="42"/>
      <c r="M59" s="49"/>
      <c r="N59" s="42" t="s">
        <v>69</v>
      </c>
      <c r="O59" s="42">
        <f>(60.5)/5900*155</f>
        <v>1.589406779661017</v>
      </c>
      <c r="P59" s="42" t="s">
        <v>85</v>
      </c>
      <c r="Q59" s="51"/>
      <c r="R59" s="52"/>
      <c r="S59" s="42"/>
      <c r="T59" s="62"/>
      <c r="U59" s="42"/>
    </row>
    <row r="60" spans="1:23" x14ac:dyDescent="0.25">
      <c r="U60" s="29"/>
    </row>
    <row r="61" spans="1:23" s="2" customFormat="1" ht="17.25" x14ac:dyDescent="0.4">
      <c r="F61" s="14"/>
      <c r="G61" s="27" t="s">
        <v>39</v>
      </c>
      <c r="H61" s="4"/>
      <c r="I61" s="31"/>
      <c r="J61" s="3"/>
      <c r="K61" s="3"/>
      <c r="L61" s="3"/>
      <c r="M61" s="26" t="s">
        <v>15</v>
      </c>
      <c r="N61" s="8">
        <f>SUM(J2:J59)</f>
        <v>282.05</v>
      </c>
      <c r="Q61" s="10"/>
      <c r="R61" s="11"/>
      <c r="S61" s="3" t="s">
        <v>50</v>
      </c>
      <c r="T61" s="31">
        <f>SUM(T2:T59)</f>
        <v>0.53819444444444453</v>
      </c>
      <c r="U61" s="1">
        <f>N61/(T61*24)</f>
        <v>21.836129032258064</v>
      </c>
      <c r="V61" s="2" t="s">
        <v>52</v>
      </c>
    </row>
    <row r="62" spans="1:23" x14ac:dyDescent="0.25">
      <c r="G62" s="45" t="s">
        <v>31</v>
      </c>
      <c r="H62" s="28">
        <f>SUMIF(E2:E59,"Go to start",H2:H59)</f>
        <v>60.855333333333334</v>
      </c>
      <c r="I62" s="75">
        <f>H62/$H$65</f>
        <v>0.17682519327512966</v>
      </c>
      <c r="M62" s="2" t="s">
        <v>6</v>
      </c>
      <c r="N62" s="2"/>
      <c r="U62" s="1"/>
    </row>
    <row r="63" spans="1:23" x14ac:dyDescent="0.25">
      <c r="G63" s="45" t="s">
        <v>0</v>
      </c>
      <c r="H63" s="28">
        <f>SUMIF(E2:E59,"Trip",H2:H59)</f>
        <v>138.15</v>
      </c>
      <c r="I63" s="75">
        <f>H63/$H$65</f>
        <v>0.40141757694684382</v>
      </c>
      <c r="M63" s="24" t="s">
        <v>46</v>
      </c>
      <c r="N63" s="1">
        <f>SUM(K2:K59)</f>
        <v>30.599999999999991</v>
      </c>
      <c r="U63" s="1"/>
    </row>
    <row r="64" spans="1:23" x14ac:dyDescent="0.25">
      <c r="G64" s="45" t="s">
        <v>32</v>
      </c>
      <c r="H64" s="28">
        <f>SUMIF(E2:E59,"Return to home base",H2:H59)</f>
        <v>145.14999999999998</v>
      </c>
      <c r="I64" s="75">
        <f>H64/$H$65</f>
        <v>0.42175722977802654</v>
      </c>
      <c r="M64" s="24" t="s">
        <v>47</v>
      </c>
      <c r="N64" s="1">
        <f>SUM(L2:L59)</f>
        <v>62.862500000000004</v>
      </c>
      <c r="U64" s="1">
        <f>(N61-N63-N64)/(T61*24)</f>
        <v>14.600322580645161</v>
      </c>
      <c r="V64" t="s">
        <v>51</v>
      </c>
    </row>
    <row r="65" spans="7:22" ht="17.25" x14ac:dyDescent="0.4">
      <c r="G65" s="44" t="s">
        <v>40</v>
      </c>
      <c r="H65" s="30">
        <f>SUM(H62:H64)</f>
        <v>344.15533333333332</v>
      </c>
      <c r="M65" s="24" t="s">
        <v>48</v>
      </c>
      <c r="N65" s="1">
        <f>SUM(N2:N59)</f>
        <v>197.88931666666664</v>
      </c>
      <c r="U65" s="1"/>
    </row>
    <row r="66" spans="7:22" ht="17.25" x14ac:dyDescent="0.4">
      <c r="G66" s="14"/>
      <c r="H66" s="30"/>
      <c r="M66" s="24" t="s">
        <v>49</v>
      </c>
      <c r="N66" s="41">
        <f>O59</f>
        <v>1.589406779661017</v>
      </c>
      <c r="U66" s="1">
        <f>(N61-N63-N64-(H71))/(T61*24)</f>
        <v>10.204015741935484</v>
      </c>
      <c r="V66" t="s">
        <v>53</v>
      </c>
    </row>
    <row r="67" spans="7:22" ht="17.25" x14ac:dyDescent="0.4">
      <c r="M67" s="26" t="s">
        <v>14</v>
      </c>
      <c r="N67" s="8">
        <f>SUM(O2:O59)</f>
        <v>292.94122344632768</v>
      </c>
      <c r="O67" s="3"/>
      <c r="P67" s="2"/>
      <c r="U67" s="1"/>
    </row>
    <row r="68" spans="7:22" ht="17.25" x14ac:dyDescent="0.4">
      <c r="G68" s="27" t="s">
        <v>54</v>
      </c>
      <c r="U68" s="1"/>
    </row>
    <row r="69" spans="7:22" ht="17.25" x14ac:dyDescent="0.4">
      <c r="G69" s="43" t="s">
        <v>55</v>
      </c>
      <c r="H69" s="1">
        <v>3.3</v>
      </c>
      <c r="M69" s="26" t="s">
        <v>19</v>
      </c>
      <c r="N69" s="8">
        <f>N61-N67</f>
        <v>-10.891223446327672</v>
      </c>
      <c r="O69" s="6">
        <f>N69/N61</f>
        <v>-3.8614513193858079E-2</v>
      </c>
      <c r="P69" s="1" t="s">
        <v>30</v>
      </c>
      <c r="U69" s="1">
        <f>(N69)/(T61*24)</f>
        <v>-0.84319149261891646</v>
      </c>
      <c r="V69" t="s">
        <v>60</v>
      </c>
    </row>
    <row r="70" spans="7:22" x14ac:dyDescent="0.25">
      <c r="G70" s="43" t="s">
        <v>56</v>
      </c>
      <c r="H70" s="5">
        <v>20</v>
      </c>
      <c r="U70" s="1"/>
    </row>
    <row r="71" spans="7:22" ht="17.25" x14ac:dyDescent="0.4">
      <c r="G71" s="44" t="s">
        <v>57</v>
      </c>
      <c r="H71" s="8">
        <f>H69*H65/H70</f>
        <v>56.785629999999991</v>
      </c>
      <c r="M71" s="23" t="s">
        <v>17</v>
      </c>
      <c r="N71" s="8">
        <f>MAX(0,0.25*N69)</f>
        <v>0</v>
      </c>
      <c r="P71" s="1"/>
      <c r="U71" s="1"/>
    </row>
    <row r="72" spans="7:22" ht="17.25" x14ac:dyDescent="0.4">
      <c r="M72" s="23" t="s">
        <v>18</v>
      </c>
      <c r="N72" s="9">
        <f>N69-N71</f>
        <v>-10.891223446327672</v>
      </c>
      <c r="O72" s="6">
        <f>N72/N61</f>
        <v>-3.8614513193858079E-2</v>
      </c>
      <c r="P72" s="1" t="s">
        <v>41</v>
      </c>
      <c r="U72" s="1">
        <f>(N72)/(T61*24)</f>
        <v>-0.84319149261891646</v>
      </c>
      <c r="V72" t="s">
        <v>59</v>
      </c>
    </row>
    <row r="73" spans="7:22" x14ac:dyDescent="0.25">
      <c r="U73" s="1">
        <f>(N61-N63-N64-H71)/(T61*24)*0.75</f>
        <v>7.6530118064516124</v>
      </c>
      <c r="V73" t="s">
        <v>58</v>
      </c>
    </row>
    <row r="74" spans="7:22" ht="17.25" x14ac:dyDescent="0.4">
      <c r="G74" s="27" t="s">
        <v>72</v>
      </c>
      <c r="U74" s="1">
        <f>(N61-N63-N64-H71+SUM(K2:K57))/(T61*24)*0.75</f>
        <v>9.4297859999999982</v>
      </c>
      <c r="V74" t="s">
        <v>71</v>
      </c>
    </row>
    <row r="75" spans="7:22" x14ac:dyDescent="0.25">
      <c r="G75" s="43" t="s">
        <v>73</v>
      </c>
      <c r="H75" s="1">
        <v>550</v>
      </c>
    </row>
    <row r="76" spans="7:22" x14ac:dyDescent="0.25">
      <c r="G76" s="43" t="s">
        <v>75</v>
      </c>
      <c r="H76" s="1">
        <f>(12650-(H75*12))/2/12</f>
        <v>252.08333333333334</v>
      </c>
      <c r="T76" t="s">
        <v>86</v>
      </c>
    </row>
    <row r="77" spans="7:22" x14ac:dyDescent="0.25">
      <c r="G77" s="43" t="s">
        <v>74</v>
      </c>
      <c r="H77" s="5">
        <f>30818/(DATE(2015,12,29)-DATE(2013,10,1))*365.24/12</f>
        <v>1145.2957183557185</v>
      </c>
      <c r="T77" s="1">
        <f>(N69+SUM(K2:K57))/(T61*24)</f>
        <v>1.5258407654455988</v>
      </c>
      <c r="U77" s="1">
        <f>(N69+SUM(K2:K57))/(T61*24)*0.75</f>
        <v>1.144380574084199</v>
      </c>
      <c r="V77" t="s">
        <v>84</v>
      </c>
    </row>
    <row r="78" spans="7:22" ht="17.25" x14ac:dyDescent="0.4">
      <c r="G78" s="44" t="s">
        <v>76</v>
      </c>
      <c r="H78" s="8">
        <f>(H75+H76)/H77-(H69/H70)</f>
        <v>0.53532858804787176</v>
      </c>
      <c r="T78" s="1">
        <f>(N69+SUM(K2:K57)+SUM(S2:S57))/(T61*24)</f>
        <v>5.2419697977036632</v>
      </c>
      <c r="U78" s="1">
        <f>(N69+SUM(K2:K57))/(T61*24)*0.75+SUM(S2:S57)/(T61*24)</f>
        <v>4.860509606342263</v>
      </c>
      <c r="V78" t="s">
        <v>87</v>
      </c>
    </row>
    <row r="80" spans="7:22" x14ac:dyDescent="0.25">
      <c r="G80" s="73" t="s">
        <v>82</v>
      </c>
      <c r="H80" s="74">
        <f>H76/H77</f>
        <v>0.22010327052933112</v>
      </c>
      <c r="I80" s="1">
        <f>H80*H65</f>
        <v>75.749714436778788</v>
      </c>
      <c r="T80" s="1">
        <f>(N61-N63-N64-H71+SUM(K2:K57)-I80)/(T61*24)</f>
        <v>6.7085539790880935</v>
      </c>
      <c r="U80" s="1">
        <f>(N61-N63-N64-H71+SUM(K2:K57)-I80)/(T61*24)*0.75</f>
        <v>5.0314154843160699</v>
      </c>
      <c r="V80" t="s">
        <v>83</v>
      </c>
    </row>
    <row r="81" spans="7:22" x14ac:dyDescent="0.25">
      <c r="T81" s="1">
        <f>(N61-N63-N64-H71+SUM(K2:K57)-I80+SUM(S2:S57))/(T61*24)</f>
        <v>10.424683011346158</v>
      </c>
      <c r="U81" s="1">
        <f>(N61-N63-N64-H71+SUM(K2:K57)-I80)/(T61*24)*0.75+SUM(S2:S57)/(T61*24)</f>
        <v>8.7475445165741341</v>
      </c>
      <c r="V81" t="s">
        <v>88</v>
      </c>
    </row>
    <row r="82" spans="7:22" x14ac:dyDescent="0.25">
      <c r="G82" s="43" t="s">
        <v>77</v>
      </c>
      <c r="H82" s="1">
        <v>0.24</v>
      </c>
      <c r="I82" s="1">
        <f>H82*H65</f>
        <v>82.597279999999998</v>
      </c>
    </row>
    <row r="83" spans="7:22" x14ac:dyDescent="0.25">
      <c r="G83" s="43" t="s">
        <v>78</v>
      </c>
      <c r="H83" s="1">
        <v>3160</v>
      </c>
    </row>
    <row r="84" spans="7:22" x14ac:dyDescent="0.25">
      <c r="G84" s="43" t="s">
        <v>79</v>
      </c>
      <c r="H84" s="1">
        <v>5100</v>
      </c>
    </row>
    <row r="85" spans="7:22" x14ac:dyDescent="0.25">
      <c r="G85" s="43" t="s">
        <v>80</v>
      </c>
      <c r="H85" s="1">
        <v>3050</v>
      </c>
    </row>
    <row r="86" spans="7:22" x14ac:dyDescent="0.25">
      <c r="G86" s="43" t="s">
        <v>81</v>
      </c>
      <c r="H86" s="1">
        <v>1875</v>
      </c>
    </row>
  </sheetData>
  <sortState ref="A2:K25">
    <sortCondition ref="B2:B25"/>
  </sortState>
  <conditionalFormatting sqref="E1:E1048576">
    <cfRule type="cellIs" dxfId="2" priority="16" operator="equal">
      <formula>"Return to home base"</formula>
    </cfRule>
    <cfRule type="cellIs" dxfId="1" priority="17" operator="equal">
      <formula>"Go to start"</formula>
    </cfRule>
    <cfRule type="cellIs" dxfId="0" priority="18" operator="equal">
      <formula>"Trip"</formula>
    </cfRule>
  </conditionalFormatting>
  <conditionalFormatting sqref="Q1:Q1048576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1:R1048576">
    <cfRule type="dataBar" priority="1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{B5749B1F-7F13-4ABC-A30E-97D207A11B08}</x14:id>
        </ext>
      </extLst>
    </cfRule>
  </conditionalFormatting>
  <conditionalFormatting sqref="H72:H73 H67 H80:H1048576 H1:H61">
    <cfRule type="dataBar" priority="1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{168B9895-7A2A-4EA3-8ED1-16D9118DAA9B}</x14:id>
        </ext>
      </extLst>
    </cfRule>
  </conditionalFormatting>
  <conditionalFormatting sqref="P73:P1048576 P1:P58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62:H66">
    <cfRule type="dataBar" priority="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{8BD78502-EF56-47CC-977B-9F5CF6EF5B0C}</x14:id>
        </ext>
      </extLst>
    </cfRule>
  </conditionalFormatting>
  <conditionalFormatting sqref="O1:O58">
    <cfRule type="dataBar" priority="5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{7EDB0281-0DF1-49BB-BFC8-795098803AE0}</x14:id>
        </ext>
      </extLst>
    </cfRule>
  </conditionalFormatting>
  <conditionalFormatting sqref="U2:U73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71:P72 P69 J67:J1048576 J1:J62">
    <cfRule type="dataBar" priority="2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{87F10343-08E4-4BF3-B374-0212BCF83F3E}</x14:id>
        </ext>
      </extLst>
    </cfRule>
  </conditionalFormatting>
  <conditionalFormatting sqref="P59">
    <cfRule type="dataBar" priority="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{0EECCAFF-FDB6-4EAC-B01D-9153DFFD510E}</x14:id>
        </ext>
      </extLst>
    </cfRule>
  </conditionalFormatting>
  <conditionalFormatting sqref="U82:U1048576 T77:T78 T80:U81 U1:U79">
    <cfRule type="colorScale" priority="3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2:H57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{B71C799F-7ED1-4AA6-BEAC-312ABC254A60}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5749B1F-7F13-4ABC-A30E-97D207A11B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R1:R1048576</xm:sqref>
        </x14:conditionalFormatting>
        <x14:conditionalFormatting xmlns:xm="http://schemas.microsoft.com/office/excel/2006/main">
          <x14:cfRule type="dataBar" id="{168B9895-7A2A-4EA3-8ED1-16D9118DAA9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H72:H73 H67 H80:H1048576 H1:H61</xm:sqref>
        </x14:conditionalFormatting>
        <x14:conditionalFormatting xmlns:xm="http://schemas.microsoft.com/office/excel/2006/main">
          <x14:cfRule type="dataBar" id="{8BD78502-EF56-47CC-977B-9F5CF6EF5B0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H62:H66</xm:sqref>
        </x14:conditionalFormatting>
        <x14:conditionalFormatting xmlns:xm="http://schemas.microsoft.com/office/excel/2006/main">
          <x14:cfRule type="dataBar" id="{7EDB0281-0DF1-49BB-BFC8-795098803A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O1:O58</xm:sqref>
        </x14:conditionalFormatting>
        <x14:conditionalFormatting xmlns:xm="http://schemas.microsoft.com/office/excel/2006/main">
          <x14:cfRule type="dataBar" id="{87F10343-08E4-4BF3-B374-0212BCF83F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P71:P72 P69 J67:J1048576 J1:J62</xm:sqref>
        </x14:conditionalFormatting>
        <x14:conditionalFormatting xmlns:xm="http://schemas.microsoft.com/office/excel/2006/main">
          <x14:cfRule type="dataBar" id="{0EECCAFF-FDB6-4EAC-B01D-9153DFFD510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P59</xm:sqref>
        </x14:conditionalFormatting>
        <x14:conditionalFormatting xmlns:xm="http://schemas.microsoft.com/office/excel/2006/main">
          <x14:cfRule type="dataBar" id="{B71C799F-7ED1-4AA6-BEAC-312ABC254A6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H2:H57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Herr</dc:creator>
  <cp:lastModifiedBy>User</cp:lastModifiedBy>
  <dcterms:created xsi:type="dcterms:W3CDTF">2015-12-22T22:11:38Z</dcterms:created>
  <dcterms:modified xsi:type="dcterms:W3CDTF">2015-12-30T05:21:21Z</dcterms:modified>
</cp:coreProperties>
</file>